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G623" i="1" s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9" i="10" s="1"/>
  <c r="F16" i="13"/>
  <c r="G16" i="13"/>
  <c r="L209" i="1"/>
  <c r="L227" i="1"/>
  <c r="C125" i="2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D6" i="13" s="1"/>
  <c r="C6" i="13" s="1"/>
  <c r="F7" i="13"/>
  <c r="G7" i="13"/>
  <c r="L203" i="1"/>
  <c r="L221" i="1"/>
  <c r="D7" i="13" s="1"/>
  <c r="C7" i="13" s="1"/>
  <c r="L239" i="1"/>
  <c r="F12" i="13"/>
  <c r="G12" i="13"/>
  <c r="L205" i="1"/>
  <c r="L223" i="1"/>
  <c r="L241" i="1"/>
  <c r="F14" i="13"/>
  <c r="G14" i="13"/>
  <c r="D14" i="13" s="1"/>
  <c r="C14" i="13" s="1"/>
  <c r="L207" i="1"/>
  <c r="L225" i="1"/>
  <c r="L243" i="1"/>
  <c r="F15" i="13"/>
  <c r="G15" i="13"/>
  <c r="L208" i="1"/>
  <c r="L226" i="1"/>
  <c r="L244" i="1"/>
  <c r="C21" i="10" s="1"/>
  <c r="F17" i="13"/>
  <c r="G17" i="13"/>
  <c r="L251" i="1"/>
  <c r="F18" i="13"/>
  <c r="G18" i="13"/>
  <c r="L252" i="1"/>
  <c r="F19" i="13"/>
  <c r="G19" i="13"/>
  <c r="D19" i="13" s="1"/>
  <c r="C19" i="13" s="1"/>
  <c r="L253" i="1"/>
  <c r="F29" i="13"/>
  <c r="G29" i="13"/>
  <c r="L358" i="1"/>
  <c r="L359" i="1"/>
  <c r="L360" i="1"/>
  <c r="I367" i="1"/>
  <c r="J290" i="1"/>
  <c r="J338" i="1" s="1"/>
  <c r="J352" i="1" s="1"/>
  <c r="J309" i="1"/>
  <c r="J328" i="1"/>
  <c r="K290" i="1"/>
  <c r="K309" i="1"/>
  <c r="K328" i="1"/>
  <c r="L276" i="1"/>
  <c r="L277" i="1"/>
  <c r="L278" i="1"/>
  <c r="E111" i="2" s="1"/>
  <c r="L279" i="1"/>
  <c r="L281" i="1"/>
  <c r="L282" i="1"/>
  <c r="L283" i="1"/>
  <c r="L284" i="1"/>
  <c r="L285" i="1"/>
  <c r="L286" i="1"/>
  <c r="L287" i="1"/>
  <c r="F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I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C24" i="10" s="1"/>
  <c r="L260" i="1"/>
  <c r="L261" i="1"/>
  <c r="L341" i="1"/>
  <c r="L342" i="1"/>
  <c r="C25" i="10" s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7" i="1" s="1"/>
  <c r="C140" i="2" s="1"/>
  <c r="L406" i="1"/>
  <c r="L266" i="1"/>
  <c r="J60" i="1"/>
  <c r="G56" i="2"/>
  <c r="G63" i="2" s="1"/>
  <c r="G59" i="2"/>
  <c r="G61" i="2"/>
  <c r="F2" i="11"/>
  <c r="L613" i="1"/>
  <c r="H663" i="1" s="1"/>
  <c r="L612" i="1"/>
  <c r="G663" i="1"/>
  <c r="L611" i="1"/>
  <c r="F663" i="1" s="1"/>
  <c r="C40" i="10"/>
  <c r="F60" i="1"/>
  <c r="G60" i="1"/>
  <c r="D56" i="2" s="1"/>
  <c r="D63" i="2" s="1"/>
  <c r="H60" i="1"/>
  <c r="I60" i="1"/>
  <c r="F79" i="1"/>
  <c r="C57" i="2" s="1"/>
  <c r="F94" i="1"/>
  <c r="C58" i="2" s="1"/>
  <c r="F111" i="1"/>
  <c r="G111" i="1"/>
  <c r="H79" i="1"/>
  <c r="H94" i="1"/>
  <c r="H112" i="1" s="1"/>
  <c r="H111" i="1"/>
  <c r="I111" i="1"/>
  <c r="I112" i="1"/>
  <c r="J111" i="1"/>
  <c r="J112" i="1" s="1"/>
  <c r="F121" i="1"/>
  <c r="F136" i="1"/>
  <c r="G121" i="1"/>
  <c r="G136" i="1"/>
  <c r="G140" i="1" s="1"/>
  <c r="H121" i="1"/>
  <c r="H136" i="1"/>
  <c r="I121" i="1"/>
  <c r="I136" i="1"/>
  <c r="I140" i="1" s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L250" i="1"/>
  <c r="C113" i="2" s="1"/>
  <c r="L332" i="1"/>
  <c r="L254" i="1"/>
  <c r="L268" i="1"/>
  <c r="C142" i="2" s="1"/>
  <c r="L269" i="1"/>
  <c r="L349" i="1"/>
  <c r="L350" i="1"/>
  <c r="I665" i="1"/>
  <c r="I670" i="1"/>
  <c r="H662" i="1"/>
  <c r="I669" i="1"/>
  <c r="C42" i="10"/>
  <c r="C32" i="10"/>
  <c r="L374" i="1"/>
  <c r="C29" i="10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/>
  <c r="L522" i="1"/>
  <c r="F550" i="1" s="1"/>
  <c r="L523" i="1"/>
  <c r="F551" i="1" s="1"/>
  <c r="L526" i="1"/>
  <c r="G549" i="1"/>
  <c r="K549" i="1" s="1"/>
  <c r="L527" i="1"/>
  <c r="G550" i="1"/>
  <c r="L528" i="1"/>
  <c r="G551" i="1" s="1"/>
  <c r="L531" i="1"/>
  <c r="H549" i="1"/>
  <c r="L532" i="1"/>
  <c r="H550" i="1"/>
  <c r="H552" i="1" s="1"/>
  <c r="L533" i="1"/>
  <c r="H551" i="1"/>
  <c r="L536" i="1"/>
  <c r="I549" i="1"/>
  <c r="I552" i="1" s="1"/>
  <c r="L537" i="1"/>
  <c r="I550" i="1"/>
  <c r="L538" i="1"/>
  <c r="I551" i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E18" i="2" s="1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C18" i="2" s="1"/>
  <c r="D13" i="2"/>
  <c r="E13" i="2"/>
  <c r="F13" i="2"/>
  <c r="I443" i="1"/>
  <c r="J14" i="1" s="1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I445" i="1"/>
  <c r="J18" i="1"/>
  <c r="G17" i="2"/>
  <c r="C21" i="2"/>
  <c r="D21" i="2"/>
  <c r="E21" i="2"/>
  <c r="F21" i="2"/>
  <c r="F31" i="2" s="1"/>
  <c r="I448" i="1"/>
  <c r="J22" i="1" s="1"/>
  <c r="C22" i="2"/>
  <c r="D22" i="2"/>
  <c r="E22" i="2"/>
  <c r="F22" i="2"/>
  <c r="I449" i="1"/>
  <c r="J23" i="1"/>
  <c r="G22" i="2" s="1"/>
  <c r="C23" i="2"/>
  <c r="D23" i="2"/>
  <c r="E23" i="2"/>
  <c r="F23" i="2"/>
  <c r="I450" i="1"/>
  <c r="J24" i="1"/>
  <c r="G23" i="2"/>
  <c r="C24" i="2"/>
  <c r="C31" i="2" s="1"/>
  <c r="C51" i="2" s="1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D51" i="2" s="1"/>
  <c r="E34" i="2"/>
  <c r="F34" i="2"/>
  <c r="C35" i="2"/>
  <c r="D35" i="2"/>
  <c r="E35" i="2"/>
  <c r="F35" i="2"/>
  <c r="I454" i="1"/>
  <c r="J49" i="1"/>
  <c r="G48" i="2" s="1"/>
  <c r="I456" i="1"/>
  <c r="J43" i="1"/>
  <c r="I457" i="1"/>
  <c r="J37" i="1" s="1"/>
  <c r="I459" i="1"/>
  <c r="J48" i="1" s="1"/>
  <c r="G47" i="2" s="1"/>
  <c r="C49" i="2"/>
  <c r="C56" i="2"/>
  <c r="E56" i="2"/>
  <c r="F56" i="2"/>
  <c r="E57" i="2"/>
  <c r="E58" i="2"/>
  <c r="E62" i="2" s="1"/>
  <c r="C59" i="2"/>
  <c r="D59" i="2"/>
  <c r="E59" i="2"/>
  <c r="F59" i="2"/>
  <c r="F62" i="2" s="1"/>
  <c r="F63" i="2" s="1"/>
  <c r="D60" i="2"/>
  <c r="C61" i="2"/>
  <c r="D61" i="2"/>
  <c r="E61" i="2"/>
  <c r="F61" i="2"/>
  <c r="C66" i="2"/>
  <c r="C67" i="2"/>
  <c r="C69" i="2"/>
  <c r="D69" i="2"/>
  <c r="D70" i="2" s="1"/>
  <c r="E69" i="2"/>
  <c r="E70" i="2"/>
  <c r="F69" i="2"/>
  <c r="F70" i="2" s="1"/>
  <c r="G69" i="2"/>
  <c r="G70" i="2"/>
  <c r="C72" i="2"/>
  <c r="F72" i="2"/>
  <c r="C73" i="2"/>
  <c r="F73" i="2"/>
  <c r="F78" i="2" s="1"/>
  <c r="F81" i="2" s="1"/>
  <c r="C74" i="2"/>
  <c r="C75" i="2"/>
  <c r="C76" i="2"/>
  <c r="E76" i="2"/>
  <c r="F76" i="2"/>
  <c r="C77" i="2"/>
  <c r="D77" i="2"/>
  <c r="D78" i="2" s="1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F91" i="2" s="1"/>
  <c r="C88" i="2"/>
  <c r="D88" i="2"/>
  <c r="E88" i="2"/>
  <c r="F88" i="2"/>
  <c r="C89" i="2"/>
  <c r="D89" i="2"/>
  <c r="E89" i="2"/>
  <c r="F89" i="2"/>
  <c r="C90" i="2"/>
  <c r="C93" i="2"/>
  <c r="F93" i="2"/>
  <c r="C94" i="2"/>
  <c r="C103" i="2" s="1"/>
  <c r="F94" i="2"/>
  <c r="D96" i="2"/>
  <c r="E96" i="2"/>
  <c r="F96" i="2"/>
  <c r="G96" i="2"/>
  <c r="G103" i="2" s="1"/>
  <c r="C97" i="2"/>
  <c r="D97" i="2"/>
  <c r="E97" i="2"/>
  <c r="F97" i="2"/>
  <c r="G97" i="2"/>
  <c r="C98" i="2"/>
  <c r="D98" i="2"/>
  <c r="D103" i="2" s="1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C111" i="2"/>
  <c r="E112" i="2"/>
  <c r="E113" i="2"/>
  <c r="C114" i="2"/>
  <c r="E114" i="2"/>
  <c r="D115" i="2"/>
  <c r="F115" i="2"/>
  <c r="G115" i="2"/>
  <c r="E118" i="2"/>
  <c r="E121" i="2"/>
  <c r="C122" i="2"/>
  <c r="E122" i="2"/>
  <c r="E123" i="2"/>
  <c r="E124" i="2"/>
  <c r="E125" i="2"/>
  <c r="F128" i="2"/>
  <c r="G128" i="2"/>
  <c r="C130" i="2"/>
  <c r="E130" i="2"/>
  <c r="D134" i="2"/>
  <c r="D144" i="2" s="1"/>
  <c r="F134" i="2"/>
  <c r="K419" i="1"/>
  <c r="K427" i="1"/>
  <c r="K433" i="1"/>
  <c r="L263" i="1"/>
  <c r="C135" i="2"/>
  <c r="E135" i="2"/>
  <c r="L264" i="1"/>
  <c r="C136" i="2" s="1"/>
  <c r="L265" i="1"/>
  <c r="C137" i="2"/>
  <c r="E137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G159" i="2" s="1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G162" i="2" s="1"/>
  <c r="C162" i="2"/>
  <c r="D162" i="2"/>
  <c r="E162" i="2"/>
  <c r="F162" i="2"/>
  <c r="B163" i="2"/>
  <c r="C163" i="2"/>
  <c r="D163" i="2"/>
  <c r="E163" i="2"/>
  <c r="G163" i="2" s="1"/>
  <c r="F163" i="2"/>
  <c r="F503" i="1"/>
  <c r="B164" i="2" s="1"/>
  <c r="G503" i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J619" i="1" s="1"/>
  <c r="I51" i="1"/>
  <c r="G625" i="1" s="1"/>
  <c r="J625" i="1" s="1"/>
  <c r="F177" i="1"/>
  <c r="I177" i="1"/>
  <c r="I192" i="1" s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G338" i="1" s="1"/>
  <c r="G352" i="1" s="1"/>
  <c r="H328" i="1"/>
  <c r="I328" i="1"/>
  <c r="I338" i="1" s="1"/>
  <c r="I352" i="1" s="1"/>
  <c r="F337" i="1"/>
  <c r="L337" i="1" s="1"/>
  <c r="G337" i="1"/>
  <c r="H337" i="1"/>
  <c r="I337" i="1"/>
  <c r="J337" i="1"/>
  <c r="K337" i="1"/>
  <c r="K338" i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J644" i="1" s="1"/>
  <c r="I401" i="1"/>
  <c r="F407" i="1"/>
  <c r="G407" i="1"/>
  <c r="H407" i="1"/>
  <c r="I407" i="1"/>
  <c r="F408" i="1"/>
  <c r="I408" i="1"/>
  <c r="L413" i="1"/>
  <c r="L414" i="1"/>
  <c r="L415" i="1"/>
  <c r="L419" i="1" s="1"/>
  <c r="L416" i="1"/>
  <c r="L417" i="1"/>
  <c r="L418" i="1"/>
  <c r="F419" i="1"/>
  <c r="F434" i="1" s="1"/>
  <c r="G419" i="1"/>
  <c r="H419" i="1"/>
  <c r="I419" i="1"/>
  <c r="J419" i="1"/>
  <c r="J434" i="1" s="1"/>
  <c r="L421" i="1"/>
  <c r="L422" i="1"/>
  <c r="L423" i="1"/>
  <c r="L424" i="1"/>
  <c r="L427" i="1" s="1"/>
  <c r="L425" i="1"/>
  <c r="L426" i="1"/>
  <c r="F427" i="1"/>
  <c r="G427" i="1"/>
  <c r="G434" i="1" s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G460" i="1"/>
  <c r="G461" i="1" s="1"/>
  <c r="H640" i="1" s="1"/>
  <c r="J640" i="1" s="1"/>
  <c r="H460" i="1"/>
  <c r="F461" i="1"/>
  <c r="H639" i="1" s="1"/>
  <c r="H461" i="1"/>
  <c r="F470" i="1"/>
  <c r="G470" i="1"/>
  <c r="H470" i="1"/>
  <c r="I470" i="1"/>
  <c r="I476" i="1" s="1"/>
  <c r="H625" i="1" s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F545" i="1" s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4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H637" i="1"/>
  <c r="H638" i="1"/>
  <c r="G640" i="1"/>
  <c r="G641" i="1"/>
  <c r="H641" i="1"/>
  <c r="G643" i="1"/>
  <c r="H643" i="1"/>
  <c r="G644" i="1"/>
  <c r="G649" i="1"/>
  <c r="G650" i="1"/>
  <c r="G652" i="1"/>
  <c r="J652" i="1" s="1"/>
  <c r="H652" i="1"/>
  <c r="G653" i="1"/>
  <c r="H653" i="1"/>
  <c r="G654" i="1"/>
  <c r="J654" i="1" s="1"/>
  <c r="H654" i="1"/>
  <c r="H655" i="1"/>
  <c r="J655" i="1" s="1"/>
  <c r="F192" i="1"/>
  <c r="L256" i="1"/>
  <c r="A31" i="12"/>
  <c r="C70" i="2"/>
  <c r="A40" i="12"/>
  <c r="D62" i="2"/>
  <c r="D18" i="13"/>
  <c r="C18" i="13" s="1"/>
  <c r="D18" i="2"/>
  <c r="D17" i="13"/>
  <c r="C17" i="13" s="1"/>
  <c r="E8" i="13"/>
  <c r="C8" i="13" s="1"/>
  <c r="C91" i="2"/>
  <c r="D31" i="2"/>
  <c r="C78" i="2"/>
  <c r="F18" i="2"/>
  <c r="E103" i="2"/>
  <c r="E31" i="2"/>
  <c r="G62" i="2"/>
  <c r="E78" i="2"/>
  <c r="E81" i="2" s="1"/>
  <c r="J641" i="1"/>
  <c r="J571" i="1"/>
  <c r="I169" i="1"/>
  <c r="J643" i="1"/>
  <c r="G476" i="1"/>
  <c r="H623" i="1" s="1"/>
  <c r="J140" i="1"/>
  <c r="C4" i="10"/>
  <c r="K545" i="1"/>
  <c r="H140" i="1"/>
  <c r="L393" i="1"/>
  <c r="C138" i="2" s="1"/>
  <c r="A13" i="12"/>
  <c r="F22" i="13"/>
  <c r="H192" i="1"/>
  <c r="E16" i="13"/>
  <c r="L570" i="1"/>
  <c r="L565" i="1"/>
  <c r="C22" i="13"/>
  <c r="C16" i="13"/>
  <c r="G160" i="2"/>
  <c r="F103" i="2"/>
  <c r="E50" i="2"/>
  <c r="E51" i="2" s="1"/>
  <c r="C50" i="2"/>
  <c r="F50" i="2"/>
  <c r="F51" i="2" s="1"/>
  <c r="G31" i="13"/>
  <c r="J653" i="1"/>
  <c r="K434" i="1"/>
  <c r="G134" i="2" s="1"/>
  <c r="G144" i="2" s="1"/>
  <c r="G145" i="2" s="1"/>
  <c r="G169" i="1"/>
  <c r="F140" i="1"/>
  <c r="G42" i="2"/>
  <c r="H434" i="1"/>
  <c r="G571" i="1"/>
  <c r="I434" i="1"/>
  <c r="A22" i="12" l="1"/>
  <c r="L614" i="1"/>
  <c r="K605" i="1"/>
  <c r="G648" i="1" s="1"/>
  <c r="K598" i="1"/>
  <c r="G647" i="1" s="1"/>
  <c r="I663" i="1"/>
  <c r="L571" i="1"/>
  <c r="H545" i="1"/>
  <c r="I545" i="1"/>
  <c r="G545" i="1"/>
  <c r="L524" i="1"/>
  <c r="K551" i="1"/>
  <c r="K550" i="1"/>
  <c r="F552" i="1"/>
  <c r="L545" i="1"/>
  <c r="K503" i="1"/>
  <c r="G158" i="2"/>
  <c r="G157" i="2"/>
  <c r="G156" i="2"/>
  <c r="J476" i="1"/>
  <c r="H626" i="1" s="1"/>
  <c r="L270" i="1"/>
  <c r="H476" i="1"/>
  <c r="H624" i="1" s="1"/>
  <c r="J624" i="1" s="1"/>
  <c r="I460" i="1"/>
  <c r="I461" i="1" s="1"/>
  <c r="H642" i="1" s="1"/>
  <c r="J639" i="1"/>
  <c r="I446" i="1"/>
  <c r="G642" i="1" s="1"/>
  <c r="J642" i="1" s="1"/>
  <c r="L401" i="1"/>
  <c r="C139" i="2" s="1"/>
  <c r="C141" i="2"/>
  <c r="C144" i="2" s="1"/>
  <c r="G645" i="1"/>
  <c r="J645" i="1" s="1"/>
  <c r="G104" i="2"/>
  <c r="G661" i="1"/>
  <c r="L362" i="1"/>
  <c r="E120" i="2"/>
  <c r="C17" i="10"/>
  <c r="L328" i="1"/>
  <c r="E119" i="2"/>
  <c r="C11" i="10"/>
  <c r="E110" i="2"/>
  <c r="H338" i="1"/>
  <c r="H352" i="1" s="1"/>
  <c r="L309" i="1"/>
  <c r="C10" i="10"/>
  <c r="F338" i="1"/>
  <c r="F352" i="1" s="1"/>
  <c r="E115" i="2"/>
  <c r="K257" i="1"/>
  <c r="K271" i="1" s="1"/>
  <c r="D5" i="13"/>
  <c r="C5" i="13" s="1"/>
  <c r="G161" i="2"/>
  <c r="F104" i="2"/>
  <c r="G21" i="2"/>
  <c r="G31" i="2" s="1"/>
  <c r="J32" i="1"/>
  <c r="G36" i="2"/>
  <c r="G50" i="2" s="1"/>
  <c r="G51" i="2" s="1"/>
  <c r="J51" i="1"/>
  <c r="G18" i="2"/>
  <c r="J552" i="1"/>
  <c r="I193" i="1"/>
  <c r="G630" i="1" s="1"/>
  <c r="J630" i="1" s="1"/>
  <c r="H193" i="1"/>
  <c r="G629" i="1" s="1"/>
  <c r="J629" i="1" s="1"/>
  <c r="J19" i="1"/>
  <c r="G621" i="1" s="1"/>
  <c r="G13" i="2"/>
  <c r="J649" i="1"/>
  <c r="L434" i="1"/>
  <c r="G638" i="1" s="1"/>
  <c r="J638" i="1" s="1"/>
  <c r="E63" i="2"/>
  <c r="J623" i="1"/>
  <c r="L408" i="1"/>
  <c r="G552" i="1"/>
  <c r="E13" i="13"/>
  <c r="C13" i="13" s="1"/>
  <c r="D15" i="13"/>
  <c r="C15" i="13" s="1"/>
  <c r="L382" i="1"/>
  <c r="G636" i="1" s="1"/>
  <c r="J636" i="1" s="1"/>
  <c r="D91" i="2"/>
  <c r="L211" i="1"/>
  <c r="G112" i="1"/>
  <c r="J193" i="1"/>
  <c r="G646" i="1" s="1"/>
  <c r="F31" i="13"/>
  <c r="F33" i="13" s="1"/>
  <c r="G33" i="13"/>
  <c r="C23" i="10"/>
  <c r="C35" i="10"/>
  <c r="D29" i="13"/>
  <c r="C29" i="13" s="1"/>
  <c r="L290" i="1"/>
  <c r="I52" i="1"/>
  <c r="H620" i="1" s="1"/>
  <c r="J620" i="1" s="1"/>
  <c r="C164" i="2"/>
  <c r="G164" i="2" s="1"/>
  <c r="F130" i="2"/>
  <c r="F144" i="2" s="1"/>
  <c r="F145" i="2" s="1"/>
  <c r="H661" i="1"/>
  <c r="H25" i="13"/>
  <c r="C25" i="13" s="1"/>
  <c r="G651" i="1"/>
  <c r="J651" i="1" s="1"/>
  <c r="H647" i="1"/>
  <c r="J647" i="1" s="1"/>
  <c r="D127" i="2"/>
  <c r="D128" i="2" s="1"/>
  <c r="D145" i="2" s="1"/>
  <c r="C124" i="2"/>
  <c r="E91" i="2"/>
  <c r="D81" i="2"/>
  <c r="D104" i="2" s="1"/>
  <c r="E132" i="2"/>
  <c r="F661" i="1"/>
  <c r="C20" i="10"/>
  <c r="C26" i="10"/>
  <c r="C18" i="10"/>
  <c r="C121" i="2"/>
  <c r="C120" i="2"/>
  <c r="C16" i="10"/>
  <c r="J257" i="1"/>
  <c r="J271" i="1" s="1"/>
  <c r="H257" i="1"/>
  <c r="H271" i="1" s="1"/>
  <c r="C118" i="2"/>
  <c r="I257" i="1"/>
  <c r="I271" i="1" s="1"/>
  <c r="L351" i="1"/>
  <c r="E142" i="2"/>
  <c r="E144" i="2" s="1"/>
  <c r="E33" i="13"/>
  <c r="D35" i="13" s="1"/>
  <c r="C123" i="2"/>
  <c r="D12" i="13"/>
  <c r="C12" i="13" s="1"/>
  <c r="C119" i="2"/>
  <c r="C15" i="10"/>
  <c r="G257" i="1"/>
  <c r="G271" i="1" s="1"/>
  <c r="C13" i="10"/>
  <c r="C112" i="2"/>
  <c r="L229" i="1"/>
  <c r="C109" i="2"/>
  <c r="L247" i="1"/>
  <c r="F257" i="1"/>
  <c r="F271" i="1" s="1"/>
  <c r="C39" i="10"/>
  <c r="G193" i="1"/>
  <c r="G628" i="1" s="1"/>
  <c r="J628" i="1" s="1"/>
  <c r="C81" i="2"/>
  <c r="C62" i="2"/>
  <c r="C63" i="2" s="1"/>
  <c r="F112" i="1"/>
  <c r="C36" i="10" s="1"/>
  <c r="C38" i="10"/>
  <c r="J618" i="1"/>
  <c r="J617" i="1"/>
  <c r="K552" i="1" l="1"/>
  <c r="G631" i="1"/>
  <c r="J631" i="1" s="1"/>
  <c r="G635" i="1"/>
  <c r="J635" i="1" s="1"/>
  <c r="C27" i="10"/>
  <c r="E128" i="2"/>
  <c r="E145" i="2" s="1"/>
  <c r="H660" i="1"/>
  <c r="G660" i="1"/>
  <c r="G664" i="1" s="1"/>
  <c r="D31" i="13"/>
  <c r="C31" i="13" s="1"/>
  <c r="L338" i="1"/>
  <c r="L352" i="1" s="1"/>
  <c r="G633" i="1" s="1"/>
  <c r="J633" i="1" s="1"/>
  <c r="F660" i="1"/>
  <c r="F664" i="1" s="1"/>
  <c r="H664" i="1"/>
  <c r="H672" i="1" s="1"/>
  <c r="C6" i="10" s="1"/>
  <c r="H33" i="13"/>
  <c r="J52" i="1"/>
  <c r="H621" i="1" s="1"/>
  <c r="J621" i="1" s="1"/>
  <c r="G626" i="1"/>
  <c r="J626" i="1" s="1"/>
  <c r="E104" i="2"/>
  <c r="I661" i="1"/>
  <c r="G637" i="1"/>
  <c r="J637" i="1" s="1"/>
  <c r="H646" i="1"/>
  <c r="J646" i="1" s="1"/>
  <c r="H648" i="1"/>
  <c r="J648" i="1" s="1"/>
  <c r="C128" i="2"/>
  <c r="C28" i="10"/>
  <c r="D18" i="10" s="1"/>
  <c r="C115" i="2"/>
  <c r="L257" i="1"/>
  <c r="L271" i="1" s="1"/>
  <c r="G632" i="1" s="1"/>
  <c r="J632" i="1" s="1"/>
  <c r="C104" i="2"/>
  <c r="F193" i="1"/>
  <c r="G627" i="1" s="1"/>
  <c r="C41" i="10"/>
  <c r="D37" i="10" s="1"/>
  <c r="H667" i="1" l="1"/>
  <c r="I660" i="1"/>
  <c r="I664" i="1" s="1"/>
  <c r="I667" i="1" s="1"/>
  <c r="D33" i="13"/>
  <c r="D36" i="13" s="1"/>
  <c r="F672" i="1"/>
  <c r="F667" i="1"/>
  <c r="C145" i="2"/>
  <c r="C30" i="10"/>
  <c r="D19" i="10"/>
  <c r="D27" i="10"/>
  <c r="D20" i="10"/>
  <c r="D10" i="10"/>
  <c r="D17" i="10"/>
  <c r="D24" i="10"/>
  <c r="D11" i="10"/>
  <c r="D22" i="10"/>
  <c r="D25" i="10"/>
  <c r="D12" i="10"/>
  <c r="D26" i="10"/>
  <c r="D21" i="10"/>
  <c r="D23" i="10"/>
  <c r="D13" i="10"/>
  <c r="D16" i="10"/>
  <c r="D15" i="10"/>
  <c r="G667" i="1"/>
  <c r="G672" i="1"/>
  <c r="C5" i="10" s="1"/>
  <c r="D36" i="10"/>
  <c r="J627" i="1"/>
  <c r="H656" i="1"/>
  <c r="D38" i="10"/>
  <c r="D35" i="10"/>
  <c r="D40" i="10"/>
  <c r="D39" i="10"/>
  <c r="I672" i="1" l="1"/>
  <c r="C7" i="10" s="1"/>
  <c r="D28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<sst xmlns="http://schemas.openxmlformats.org/spreadsheetml/2006/main" count="3956" uniqueCount="914">
  <si>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</si>
  <si>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</si>
  <si>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</si>
  <si>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</si>
  <si>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</si>
  <si>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</si>
  <si>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</si>
  <si>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</si>
  <si>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</si>
  <si>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</si>
  <si>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</si>
  <si>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</si>
  <si>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</si>
  <si>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</si>
  <si>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</si>
  <si>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</si>
  <si>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</si>
  <si>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</si>
  <si>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</si>
  <si>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</si>
  <si>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</si>
  <si>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</si>
  <si>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</si>
  <si>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</si>
  <si>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</si>
  <si>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</si>
  <si>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</si>
  <si>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</si>
  <si>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</si>
  <si>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</si>
  <si>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</si>
  <si>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</si>
  <si>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</si>
  <si>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</si>
  <si>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</si>
  <si>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</si>
  <si>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</si>
  <si>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</si>
  <si>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</si>
  <si>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</si>
  <si>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</si>
  <si>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</si>
  <si>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</si>
  <si>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</si>
  <si>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</si>
  <si>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</si>
  <si>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</si>
  <si>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</si>
  <si>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</si>
  <si>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</si>
  <si>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</si>
  <si>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</si>
  <si>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</si>
  <si>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</si>
  <si>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</si>
  <si>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</si>
  <si>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</si>
  <si>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</si>
  <si>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</si>
  <si>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</si>
  <si>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</si>
  <si>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</si>
  <si>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</si>
  <si>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</si>
  <si>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</si>
  <si>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</si>
  <si>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</si>
  <si>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</si>
  <si>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</si>
  <si>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</si>
  <si>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</si>
  <si>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</si>
  <si>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</si>
  <si>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</si>
  <si>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</si>
  <si>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</si>
  <si>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</si>
  <si>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</si>
  <si>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</si>
  <si>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</si>
  <si>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</si>
  <si>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</si>
  <si>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</si>
  <si>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</si>
  <si>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</si>
  <si>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</si>
  <si>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</si>
  <si>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</si>
  <si>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</si>
  <si>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</si>
  <si>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</si>
  <si>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</si>
  <si>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</si>
  <si>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</si>
  <si>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</si>
  <si>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</si>
  <si>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</si>
  <si>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</si>
  <si>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</si>
  <si>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</si>
  <si>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</si>
  <si>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</si>
  <si>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</si>
  <si>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</si>
  <si>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</si>
  <si>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</si>
  <si>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</si>
  <si>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</si>
  <si>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</si>
  <si>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</si>
  <si>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</si>
  <si>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</si>
  <si>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</si>
  <si>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</si>
  <si>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</si>
  <si>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</si>
  <si>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</si>
  <si>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</si>
  <si>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</si>
  <si>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</si>
  <si>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</si>
  <si>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</si>
  <si>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</si>
  <si>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</si>
  <si>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</si>
  <si>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</si>
  <si>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</si>
  <si>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</si>
  <si>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</si>
  <si>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</si>
  <si>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</si>
  <si>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</si>
  <si>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</si>
  <si>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</si>
  <si>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</si>
  <si>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</si>
  <si>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</si>
  <si>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</si>
  <si>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</si>
  <si>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</si>
  <si>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</si>
  <si>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</si>
  <si>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</si>
  <si>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</si>
  <si>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</si>
  <si>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</si>
  <si>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</si>
  <si>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</si>
  <si>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</si>
  <si>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</si>
  <si>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</si>
  <si>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</si>
  <si>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</si>
  <si>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</si>
  <si>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</si>
  <si>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</si>
  <si>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</si>
  <si>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</si>
  <si>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</si>
  <si>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</si>
  <si>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</si>
  <si>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</si>
  <si>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</si>
  <si>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</si>
  <si>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</si>
  <si>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</si>
  <si>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</si>
  <si>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</si>
  <si>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</si>
  <si>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</si>
  <si>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</si>
  <si>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</si>
  <si>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</si>
  <si>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</si>
  <si>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</si>
  <si>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</si>
  <si>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</si>
  <si>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</si>
  <si>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</si>
  <si>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</si>
  <si>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</si>
  <si>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</si>
  <si>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</si>
  <si>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</si>
  <si>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</si>
  <si>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</si>
  <si>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</si>
  <si>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</si>
  <si>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</si>
  <si>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</si>
  <si>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</si>
  <si>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</si>
  <si>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</si>
  <si>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</si>
  <si>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</si>
  <si>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</si>
  <si>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</si>
  <si>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</si>
  <si>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</si>
  <si>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</si>
  <si>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</si>
  <si>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</si>
  <si>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</si>
  <si>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</si>
  <si>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</si>
  <si>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</si>
  <si>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</si>
  <si>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</si>
  <si>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</si>
  <si>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</si>
  <si>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</si>
  <si>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</si>
  <si>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</si>
  <si>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</si>
  <si>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</si>
  <si>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</si>
  <si>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</si>
  <si>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</si>
  <si>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</si>
  <si>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</si>
  <si>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</si>
  <si>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</si>
  <si>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</si>
  <si>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</si>
  <si>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</si>
  <si>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</si>
  <si>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</si>
  <si>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</si>
  <si>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</si>
  <si>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</si>
  <si>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</si>
  <si>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</si>
  <si>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</si>
  <si>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</si>
  <si>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</si>
  <si>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</si>
  <si>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</si>
  <si>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</si>
  <si>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</si>
  <si>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</si>
  <si>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</si>
  <si>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</si>
  <si>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</si>
  <si>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</si>
  <si>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</si>
  <si>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</si>
  <si>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</si>
  <si>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</si>
  <si>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</si>
  <si>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</si>
  <si>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</si>
  <si>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</si>
  <si>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</si>
  <si>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</si>
  <si>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</si>
  <si>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</si>
  <si>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</si>
  <si>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</si>
  <si>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</si>
  <si>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</si>
  <si>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</si>
  <si>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</si>
  <si>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</si>
  <si>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</si>
  <si>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</si>
  <si>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</si>
  <si>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</si>
  <si>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</si>
  <si>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</si>
  <si>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</si>
  <si>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</si>
  <si>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</si>
  <si>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</si>
  <si>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</si>
  <si>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</si>
  <si>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</si>
  <si>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</si>
  <si>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</si>
  <si>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</si>
  <si>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</si>
  <si>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</si>
  <si>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</si>
  <si>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</si>
  <si>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</si>
  <si>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</si>
  <si>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</si>
  <si>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</si>
  <si>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</si>
  <si>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</si>
  <si>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</si>
  <si>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</si>
  <si>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</si>
  <si>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</si>
  <si>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</si>
  <si>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</si>
  <si>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</si>
  <si>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</si>
  <si>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</si>
  <si>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</si>
  <si>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</si>
  <si>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</si>
  <si>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</si>
  <si>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</si>
  <si>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</si>
  <si>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</si>
  <si>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</si>
  <si>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</si>
  <si>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</si>
  <si>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</si>
  <si>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</si>
  <si>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</si>
  <si>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</si>
  <si>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</si>
  <si>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</si>
  <si>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</si>
  <si>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</si>
  <si>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</si>
  <si>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</si>
  <si>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</si>
  <si>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</si>
  <si>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</si>
  <si>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</si>
  <si>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</si>
  <si>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</si>
  <si>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</si>
  <si>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</si>
  <si>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</si>
  <si>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</si>
  <si>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</si>
  <si>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</si>
  <si>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</si>
  <si>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</si>
  <si>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</si>
  <si>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</si>
  <si>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</si>
  <si>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</si>
  <si>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</si>
  <si>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</si>
  <si>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</si>
  <si>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</si>
  <si>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</si>
  <si>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</si>
  <si>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</si>
  <si>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</si>
  <si>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</si>
  <si>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</si>
  <si>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</si>
  <si>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</si>
  <si>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</si>
  <si>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</si>
  <si>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</si>
  <si>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</si>
  <si>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</si>
  <si>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</si>
  <si>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</si>
  <si>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</si>
  <si>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</si>
  <si>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</si>
  <si>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</si>
  <si>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</si>
  <si>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</si>
  <si>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</si>
  <si>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</si>
  <si>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</si>
  <si>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</si>
  <si>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</si>
  <si>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</si>
  <si>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</si>
  <si>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</si>
  <si>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</si>
  <si>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</si>
  <si>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</si>
  <si>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</si>
  <si>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</si>
  <si>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</si>
  <si>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</si>
  <si>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</si>
  <si>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</si>
  <si>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</si>
  <si>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</si>
  <si>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</si>
  <si>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</si>
  <si>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</si>
  <si>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</si>
  <si>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</si>
  <si>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</si>
  <si>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</si>
  <si>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</si>
  <si>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</si>
  <si>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</si>
  <si>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</si>
  <si>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</si>
  <si>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</si>
  <si>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</si>
  <si>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</si>
  <si>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</si>
  <si>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</si>
  <si>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</si>
  <si>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</si>
  <si>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</si>
  <si>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</si>
  <si>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</si>
  <si>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</si>
  <si>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</si>
  <si>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</si>
  <si>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</si>
  <si>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</si>
  <si>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</si>
  <si>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</si>
  <si>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</si>
  <si>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</si>
  <si>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</si>
  <si>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</si>
  <si>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</si>
  <si>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</si>
  <si>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</si>
  <si>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</si>
  <si>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</si>
  <si>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</si>
  <si>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</si>
  <si>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</si>
  <si>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</si>
  <si>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</si>
  <si>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</si>
  <si>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</si>
  <si>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</si>
  <si>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</si>
  <si>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</si>
  <si>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</si>
  <si>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</si>
  <si>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</si>
  <si>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</si>
  <si>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</si>
  <si>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</si>
  <si>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</si>
  <si>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</si>
  <si>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</si>
  <si>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</si>
  <si>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</si>
  <si>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</si>
  <si>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</si>
  <si>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</si>
  <si>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</si>
  <si>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</si>
  <si>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</si>
  <si>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</si>
  <si>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</si>
  <si>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</si>
  <si>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</si>
  <si>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</si>
  <si>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</si>
  <si>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</si>
  <si>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</si>
  <si>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</si>
  <si>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</si>
  <si>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</si>
  <si>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</si>
  <si>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</si>
  <si>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</si>
  <si>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</si>
  <si>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</si>
  <si>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</si>
  <si>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</si>
  <si>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</si>
  <si>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</si>
  <si>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</si>
  <si>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</si>
  <si>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</si>
  <si>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</si>
  <si>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</si>
  <si>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</si>
  <si>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</si>
  <si>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</si>
  <si>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</si>
  <si>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</si>
  <si>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</si>
  <si>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</si>
  <si>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</si>
  <si>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</si>
  <si>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</si>
  <si>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</si>
  <si>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</si>
  <si>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</si>
  <si>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</si>
  <si>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</si>
  <si>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</si>
  <si>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</si>
  <si>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</si>
  <si>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</si>
  <si>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</si>
  <si>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</si>
  <si>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</si>
  <si>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</si>
  <si>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</si>
  <si>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</si>
  <si>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</si>
  <si>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</si>
  <si>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</si>
  <si>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</si>
  <si>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</si>
  <si>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</si>
  <si>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</si>
  <si>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</si>
  <si>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</si>
  <si>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</si>
  <si>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</si>
  <si>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</si>
  <si>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</si>
  <si>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</si>
  <si>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</si>
  <si>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</si>
  <si>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</si>
  <si>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</si>
  <si>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</si>
  <si>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</si>
  <si>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</si>
  <si>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</si>
  <si>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</si>
  <si>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</si>
  <si>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</si>
  <si>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</si>
  <si>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</si>
  <si>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</si>
  <si>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</si>
  <si>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</si>
  <si>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</si>
  <si>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</si>
  <si>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</si>
  <si>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</si>
  <si>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</si>
  <si>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</si>
  <si>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</si>
  <si>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</si>
  <si>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</si>
  <si>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</si>
  <si>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</si>
  <si>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</si>
  <si>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</si>
  <si>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</si>
  <si>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</si>
  <si>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</si>
  <si>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</si>
  <si>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</si>
  <si>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</si>
  <si>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</si>
  <si>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</si>
  <si>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</si>
  <si>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</si>
  <si>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</si>
  <si>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</si>
  <si>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</si>
  <si>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</si>
  <si>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</si>
  <si>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</si>
  <si>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</si>
  <si>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</si>
  <si>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</si>
  <si>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</si>
  <si>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</si>
  <si>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</si>
  <si>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</si>
  <si>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</si>
  <si>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</si>
  <si>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</si>
  <si>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</si>
  <si>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</si>
  <si>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</si>
  <si>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</si>
  <si>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</si>
  <si>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</si>
  <si>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</si>
  <si>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</si>
  <si>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</si>
  <si>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</si>
  <si>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</si>
  <si>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</si>
  <si>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</si>
  <si>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</si>
  <si>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</si>
  <si>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</si>
  <si>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</si>
  <si>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</si>
  <si>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</si>
  <si>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</si>
  <si>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</si>
  <si>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</si>
  <si>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</si>
  <si>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</si>
  <si>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</si>
  <si>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</si>
  <si>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</si>
  <si>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</si>
  <si>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</si>
  <si>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</si>
  <si>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</si>
  <si>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</si>
  <si>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</si>
  <si>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</si>
  <si>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</si>
  <si>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</si>
  <si>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</si>
  <si>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</si>
  <si>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</si>
  <si>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</si>
  <si>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</si>
  <si>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</si>
  <si>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</si>
  <si>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</si>
  <si>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</si>
  <si>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</si>
  <si>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</si>
  <si>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</si>
  <si>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</si>
  <si>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</si>
  <si>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</si>
  <si>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</si>
  <si>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</si>
  <si>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</si>
  <si>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</si>
  <si>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</si>
  <si>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</si>
  <si>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</si>
  <si>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</si>
  <si>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</si>
  <si>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</si>
  <si>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</si>
  <si>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</si>
  <si>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</si>
  <si>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</si>
  <si>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</si>
  <si>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</si>
  <si>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</si>
  <si>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</si>
  <si>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</si>
  <si>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</si>
  <si>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</si>
  <si>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</si>
  <si>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</si>
  <si>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</si>
  <si>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</si>
  <si>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</si>
  <si>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</si>
  <si>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</si>
  <si>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</si>
  <si>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</si>
  <si>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</si>
  <si>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</si>
  <si>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</si>
  <si>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</si>
  <si>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</si>
  <si>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</si>
  <si>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</si>
  <si>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</si>
  <si>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</si>
  <si>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</si>
  <si>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</si>
  <si>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</si>
  <si>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</si>
  <si>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</si>
  <si>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</si>
  <si>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</si>
  <si>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</si>
  <si>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</si>
  <si>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</si>
  <si>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</si>
  <si>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</si>
  <si>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</si>
  <si>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</si>
  <si>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</si>
  <si>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</si>
  <si>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</si>
  <si>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</si>
  <si>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</si>
  <si>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</si>
  <si>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</si>
  <si>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</si>
  <si>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</si>
  <si>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</si>
  <si>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</si>
  <si>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</si>
  <si>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</si>
  <si>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</si>
  <si>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</si>
  <si>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</si>
  <si>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</si>
  <si>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</si>
  <si>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</si>
  <si>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</si>
  <si>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</si>
  <si>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</si>
  <si>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</si>
  <si>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</si>
  <si>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</si>
  <si>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</si>
  <si>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</si>
  <si>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</si>
  <si>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</si>
  <si>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</si>
  <si>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</si>
  <si>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</si>
  <si>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</si>
  <si>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</si>
  <si>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</si>
  <si>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</si>
  <si>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</si>
  <si>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</si>
  <si>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</si>
  <si>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</si>
  <si>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</si>
  <si>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</si>
  <si>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</si>
  <si>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</si>
  <si>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</si>
  <si>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</si>
  <si>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</si>
  <si>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</si>
  <si>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</si>
  <si>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</si>
  <si>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</si>
  <si>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</si>
  <si>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</si>
  <si>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</si>
  <si>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</si>
  <si>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</si>
  <si>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</si>
  <si>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</si>
  <si>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</si>
  <si>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</si>
  <si>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</si>
  <si>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</si>
  <si>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</si>
  <si>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</si>
  <si>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</si>
  <si>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</si>
  <si>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</si>
  <si>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</si>
  <si>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</si>
  <si>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</si>
  <si>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</si>
  <si>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</si>
  <si>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</si>
  <si>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</si>
  <si>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</si>
  <si>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</si>
  <si>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</si>
  <si>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</si>
  <si>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</si>
  <si>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</si>
  <si>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</si>
  <si>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</si>
  <si>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</si>
  <si>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</si>
  <si>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</si>
  <si>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</si>
  <si>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</si>
  <si>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</si>
  <si>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</si>
  <si>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</si>
  <si>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</si>
  <si>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</si>
  <si>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</si>
  <si>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</si>
  <si>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</si>
  <si>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</si>
  <si>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</si>
  <si>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</si>
  <si>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</si>
  <si>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</si>
  <si>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</si>
  <si>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</si>
  <si>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</si>
  <si>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</si>
  <si>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</si>
  <si>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</si>
  <si>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</si>
  <si>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</si>
  <si>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</si>
  <si>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</si>
  <si>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</si>
  <si>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</si>
  <si>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</si>
  <si>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</si>
  <si>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</si>
  <si>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</si>
  <si>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</si>
  <si>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</si>
  <si>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</si>
  <si>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</si>
  <si>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</si>
  <si>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</si>
  <si>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</si>
  <si>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</si>
  <si>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</si>
  <si>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</si>
  <si>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</si>
  <si>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</si>
  <si>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</si>
  <si>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</si>
  <si>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</si>
  <si>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</si>
  <si>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</si>
  <si>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</si>
  <si>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</si>
  <si>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</si>
  <si>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</si>
  <si>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</si>
  <si>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</si>
  <si>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</si>
  <si>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</si>
  <si>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</si>
  <si>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</si>
  <si>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</si>
  <si>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</si>
  <si>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</si>
  <si>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</si>
  <si>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</si>
  <si>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</si>
  <si>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</si>
  <si>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</si>
  <si>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</si>
  <si>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</si>
  <si>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</si>
  <si>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</si>
  <si>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</si>
  <si>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</si>
  <si>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</si>
  <si>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</si>
  <si>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</si>
  <si>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</si>
  <si>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</si>
  <si>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</si>
  <si>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</si>
  <si>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</si>
  <si>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</si>
  <si>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</si>
  <si>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</si>
  <si>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</si>
  <si>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</si>
  <si>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</si>
  <si>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</si>
  <si>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</si>
  <si>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</si>
  <si>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</si>
  <si>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</si>
  <si>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</si>
  <si>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</si>
  <si>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</si>
  <si>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</si>
  <si>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</si>
  <si>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</si>
  <si>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</si>
  <si>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</si>
  <si>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</si>
  <si>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</si>
  <si>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</si>
  <si>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</si>
  <si>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</si>
  <si>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</si>
  <si>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</si>
  <si>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</si>
  <si>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</si>
  <si>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</si>
  <si>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</si>
  <si>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</si>
  <si>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</si>
  <si>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</si>
  <si>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</si>
  <si>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</si>
  <si>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</si>
  <si>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</si>
  <si>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</si>
  <si>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</si>
  <si>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</si>
  <si>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</si>
  <si>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</si>
  <si>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</si>
  <si>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</si>
  <si>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</si>
  <si>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</si>
  <si>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</si>
  <si>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</si>
  <si>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</si>
  <si>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</si>
  <si>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</si>
  <si>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</si>
  <si>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</si>
  <si>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</si>
  <si>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</si>
  <si>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</si>
  <si>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</si>
  <si>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</si>
  <si>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</si>
  <si>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</si>
  <si>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</si>
  <si>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</si>
  <si>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</si>
  <si>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</si>
  <si>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</si>
  <si>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</si>
  <si>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</si>
  <si>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</si>
  <si>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</si>
  <si>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</si>
  <si>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</si>
  <si>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</si>
  <si>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</si>
  <si>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</si>
  <si>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</si>
  <si>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</si>
  <si>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</si>
  <si>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</si>
  <si>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PROFILE SCHOOL DISTRICT</t>
  </si>
  <si>
    <t>01/07</t>
  </si>
  <si>
    <t>01/27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</si>
</sst>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zoomScaleNormal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450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327968.27</v>
      </c>
      <c r="G9" s="18">
        <v>-18062.580000000002</v>
      </c>
      <c r="H9" s="18">
        <v>-3207.24</v>
      </c>
      <c r="I9" s="18"/>
      <c r="J9" s="67">
        <f>SUM(I439)</f>
        <v>306715.48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8819.7000000000007</v>
      </c>
      <c r="G12" s="18"/>
      <c r="H12" s="18">
        <v>550.66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18062.580000000002</v>
      </c>
      <c r="H13" s="18">
        <v>1853.08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11702.76</v>
      </c>
      <c r="G14" s="18"/>
      <c r="H14" s="18">
        <v>803.5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348490.73000000004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306715.48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550.66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124417.51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124968.17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306715.48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0</v>
      </c>
      <c r="H49" s="18">
        <v>0</v>
      </c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223522.56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223522.56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306715.48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348490.73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306715.48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4188024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4188024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11202.76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11202.76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331.15</v>
      </c>
      <c r="G96" s="18"/>
      <c r="H96" s="18"/>
      <c r="I96" s="18"/>
      <c r="J96" s="18">
        <v>77.22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89325.86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348.87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15141.7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15821.720000000001</v>
      </c>
      <c r="G111" s="41">
        <f>SUM(G96:G110)</f>
        <v>89325.86</v>
      </c>
      <c r="H111" s="41">
        <f>SUM(H96:H110)</f>
        <v>0</v>
      </c>
      <c r="I111" s="41">
        <f>SUM(I96:I110)</f>
        <v>0</v>
      </c>
      <c r="J111" s="41">
        <f>SUM(J96:J110)</f>
        <v>77.22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4215048.4799999995</v>
      </c>
      <c r="G112" s="41">
        <f>G60+G111</f>
        <v>89325.86</v>
      </c>
      <c r="H112" s="41">
        <f>H60+H79+H94+H111</f>
        <v>0</v>
      </c>
      <c r="I112" s="41">
        <f>I60+I111</f>
        <v>0</v>
      </c>
      <c r="J112" s="41">
        <f>J60+J111</f>
        <v>77.22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757060.02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867580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1624640.02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369536.36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45677.49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4432.6000000000004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1371.96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419646.44999999995</v>
      </c>
      <c r="G136" s="41">
        <f>SUM(G123:G135)</f>
        <v>1371.96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2044286.47</v>
      </c>
      <c r="G140" s="41">
        <f>G121+SUM(G136:G137)</f>
        <v>1371.96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58175.74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29142.57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48375.41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43126.52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78198.42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78198.42</v>
      </c>
      <c r="G162" s="41">
        <f>SUM(G150:G161)</f>
        <v>48375.41</v>
      </c>
      <c r="H162" s="41">
        <f>SUM(H150:H161)</f>
        <v>130444.82999999999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661.86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78860.28</v>
      </c>
      <c r="G169" s="41">
        <f>G147+G162+SUM(G163:G168)</f>
        <v>48375.41</v>
      </c>
      <c r="H169" s="41">
        <f>H147+H162+SUM(H163:H168)</f>
        <v>130444.82999999999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550.66</v>
      </c>
      <c r="H179" s="18"/>
      <c r="I179" s="18"/>
      <c r="J179" s="18">
        <v>25000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550.66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8819.7000000000007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8819.7000000000007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8819.7000000000007</v>
      </c>
      <c r="G192" s="41">
        <f>G183+SUM(G188:G191)</f>
        <v>550.66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6347014.9299999997</v>
      </c>
      <c r="G193" s="47">
        <f>G112+G140+G169+G192</f>
        <v>139623.89000000001</v>
      </c>
      <c r="H193" s="47">
        <f>H112+H140+H169+H192</f>
        <v>130444.82999999999</v>
      </c>
      <c r="I193" s="47">
        <f>I112+I140+I169+I192</f>
        <v>0</v>
      </c>
      <c r="J193" s="47">
        <f>J112+J140+J192</f>
        <v>25077.22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400372.26</v>
      </c>
      <c r="G215" s="18">
        <v>161004.59</v>
      </c>
      <c r="H215" s="18">
        <v>14433.64</v>
      </c>
      <c r="I215" s="18">
        <v>22340.75</v>
      </c>
      <c r="J215" s="18">
        <v>23706.18</v>
      </c>
      <c r="K215" s="18"/>
      <c r="L215" s="19">
        <f>SUM(F215:K215)</f>
        <v>621857.42000000004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309600.28000000003</v>
      </c>
      <c r="G216" s="18">
        <v>198890.99</v>
      </c>
      <c r="H216" s="18">
        <v>1138.75</v>
      </c>
      <c r="I216" s="18">
        <v>2014.99</v>
      </c>
      <c r="J216" s="18">
        <v>212.04</v>
      </c>
      <c r="K216" s="18"/>
      <c r="L216" s="19">
        <f>SUM(F216:K216)</f>
        <v>511857.05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37795.800000000003</v>
      </c>
      <c r="G217" s="18">
        <v>19410.189999999999</v>
      </c>
      <c r="H217" s="18"/>
      <c r="I217" s="18">
        <v>3493.98</v>
      </c>
      <c r="J217" s="18">
        <v>408.72</v>
      </c>
      <c r="K217" s="18"/>
      <c r="L217" s="19">
        <f>SUM(F217:K217)</f>
        <v>61108.69000000001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32088.89</v>
      </c>
      <c r="G218" s="18">
        <v>6048.46</v>
      </c>
      <c r="H218" s="18">
        <v>9237.8700000000008</v>
      </c>
      <c r="I218" s="18">
        <v>2450.5</v>
      </c>
      <c r="J218" s="18">
        <v>740.16</v>
      </c>
      <c r="K218" s="18">
        <v>5409.92</v>
      </c>
      <c r="L218" s="19">
        <f>SUM(F218:K218)</f>
        <v>55975.8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50007.44</v>
      </c>
      <c r="G220" s="18">
        <v>20917.55</v>
      </c>
      <c r="H220" s="18">
        <v>41669.21</v>
      </c>
      <c r="I220" s="18">
        <v>1873.82</v>
      </c>
      <c r="J220" s="18">
        <v>249.55</v>
      </c>
      <c r="K220" s="18"/>
      <c r="L220" s="19">
        <f t="shared" ref="L220:L226" si="2">SUM(F220:K220)</f>
        <v>114717.57000000002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42490.2</v>
      </c>
      <c r="G221" s="18">
        <v>18467.47</v>
      </c>
      <c r="H221" s="18">
        <v>16.100000000000001</v>
      </c>
      <c r="I221" s="18">
        <v>3157.95</v>
      </c>
      <c r="J221" s="18">
        <v>244.75</v>
      </c>
      <c r="K221" s="18">
        <v>11423.66</v>
      </c>
      <c r="L221" s="19">
        <f t="shared" si="2"/>
        <v>75800.12999999999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3132.5</v>
      </c>
      <c r="G222" s="18">
        <v>279.24</v>
      </c>
      <c r="H222" s="18">
        <v>102648.39</v>
      </c>
      <c r="I222" s="18"/>
      <c r="J222" s="18"/>
      <c r="K222" s="18">
        <v>4383.18</v>
      </c>
      <c r="L222" s="19">
        <f t="shared" si="2"/>
        <v>110443.31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70838.33</v>
      </c>
      <c r="G223" s="18">
        <v>35159.72</v>
      </c>
      <c r="H223" s="18">
        <v>17556.97</v>
      </c>
      <c r="I223" s="18">
        <v>2183.3200000000002</v>
      </c>
      <c r="J223" s="18">
        <v>415.8</v>
      </c>
      <c r="K223" s="18">
        <v>1062.55</v>
      </c>
      <c r="L223" s="19">
        <f t="shared" si="2"/>
        <v>127216.69000000002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43427.6</v>
      </c>
      <c r="G225" s="18">
        <v>24864.14</v>
      </c>
      <c r="H225" s="18">
        <v>68198.36</v>
      </c>
      <c r="I225" s="18">
        <v>62330.94</v>
      </c>
      <c r="J225" s="18">
        <v>2694.29</v>
      </c>
      <c r="K225" s="18"/>
      <c r="L225" s="19">
        <f t="shared" si="2"/>
        <v>201515.33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22208.57</v>
      </c>
      <c r="I226" s="18"/>
      <c r="J226" s="18"/>
      <c r="K226" s="18"/>
      <c r="L226" s="19">
        <f t="shared" si="2"/>
        <v>22208.57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989753.3</v>
      </c>
      <c r="G229" s="41">
        <f>SUM(G215:G228)</f>
        <v>485042.35</v>
      </c>
      <c r="H229" s="41">
        <f>SUM(H215:H228)</f>
        <v>277107.86000000004</v>
      </c>
      <c r="I229" s="41">
        <f>SUM(I215:I228)</f>
        <v>99846.25</v>
      </c>
      <c r="J229" s="41">
        <f>SUM(J215:J228)</f>
        <v>28671.49</v>
      </c>
      <c r="K229" s="41">
        <f t="shared" si="3"/>
        <v>22279.31</v>
      </c>
      <c r="L229" s="41">
        <f t="shared" si="3"/>
        <v>1902700.56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808142.16</v>
      </c>
      <c r="G233" s="18">
        <v>388685.94</v>
      </c>
      <c r="H233" s="18">
        <v>28670.080000000002</v>
      </c>
      <c r="I233" s="18">
        <v>35593.08</v>
      </c>
      <c r="J233" s="18">
        <v>45002.51</v>
      </c>
      <c r="K233" s="18"/>
      <c r="L233" s="19">
        <f>SUM(F233:K233)</f>
        <v>1306093.7700000003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161750.26</v>
      </c>
      <c r="G234" s="18">
        <v>111114.7</v>
      </c>
      <c r="H234" s="18">
        <v>269210.52</v>
      </c>
      <c r="I234" s="18">
        <v>3725.38</v>
      </c>
      <c r="J234" s="18">
        <v>393.79</v>
      </c>
      <c r="K234" s="18"/>
      <c r="L234" s="19">
        <f>SUM(F234:K234)</f>
        <v>546194.65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70192.2</v>
      </c>
      <c r="G235" s="18">
        <v>36045.99</v>
      </c>
      <c r="H235" s="18">
        <v>25658.85</v>
      </c>
      <c r="I235" s="18">
        <v>6488.87</v>
      </c>
      <c r="J235" s="18">
        <v>759.04</v>
      </c>
      <c r="K235" s="18"/>
      <c r="L235" s="19">
        <f>SUM(F235:K235)</f>
        <v>139144.95000000001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62479.61</v>
      </c>
      <c r="G236" s="18">
        <v>9409.0400000000009</v>
      </c>
      <c r="H236" s="18">
        <v>17216.05</v>
      </c>
      <c r="I236" s="18">
        <v>4550.76</v>
      </c>
      <c r="J236" s="18">
        <v>1374.52</v>
      </c>
      <c r="K236" s="18">
        <v>9731.1299999999992</v>
      </c>
      <c r="L236" s="19">
        <f>SUM(F236:K236)</f>
        <v>104761.11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90687.21</v>
      </c>
      <c r="G238" s="18">
        <v>23459.88</v>
      </c>
      <c r="H238" s="18">
        <v>37633.67</v>
      </c>
      <c r="I238" s="18">
        <v>3479.94</v>
      </c>
      <c r="J238" s="18">
        <v>463.45</v>
      </c>
      <c r="K238" s="18"/>
      <c r="L238" s="19">
        <f t="shared" ref="L238:L244" si="4">SUM(F238:K238)</f>
        <v>155724.15000000002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78910.399999999994</v>
      </c>
      <c r="G239" s="18">
        <v>34296.54</v>
      </c>
      <c r="H239" s="18">
        <v>29.89</v>
      </c>
      <c r="I239" s="18">
        <v>5880.7</v>
      </c>
      <c r="J239" s="18">
        <v>454.51</v>
      </c>
      <c r="K239" s="18">
        <v>21465.31</v>
      </c>
      <c r="L239" s="19">
        <f t="shared" si="4"/>
        <v>141037.35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5817.5</v>
      </c>
      <c r="G240" s="18">
        <v>518.59</v>
      </c>
      <c r="H240" s="18">
        <v>190632.7</v>
      </c>
      <c r="I240" s="18"/>
      <c r="J240" s="18"/>
      <c r="K240" s="18">
        <v>8140.18</v>
      </c>
      <c r="L240" s="19">
        <f t="shared" si="4"/>
        <v>205108.97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131556.76</v>
      </c>
      <c r="G241" s="18">
        <v>65294.31</v>
      </c>
      <c r="H241" s="18">
        <v>35673.94</v>
      </c>
      <c r="I241" s="18">
        <v>3541.7</v>
      </c>
      <c r="J241" s="18">
        <v>772.18</v>
      </c>
      <c r="K241" s="18">
        <v>4736.6899999999996</v>
      </c>
      <c r="L241" s="19">
        <f t="shared" si="4"/>
        <v>241575.58000000002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89257.35</v>
      </c>
      <c r="G243" s="18">
        <v>46139.22</v>
      </c>
      <c r="H243" s="18">
        <v>122978.06</v>
      </c>
      <c r="I243" s="18">
        <v>115767.16</v>
      </c>
      <c r="J243" s="18">
        <v>5003.67</v>
      </c>
      <c r="K243" s="18"/>
      <c r="L243" s="19">
        <f t="shared" si="4"/>
        <v>379145.46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79590.62</v>
      </c>
      <c r="I244" s="18">
        <v>3077.02</v>
      </c>
      <c r="J244" s="18"/>
      <c r="K244" s="18"/>
      <c r="L244" s="19">
        <f t="shared" si="4"/>
        <v>82667.64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1498793.45</v>
      </c>
      <c r="G247" s="41">
        <f t="shared" si="5"/>
        <v>714964.21</v>
      </c>
      <c r="H247" s="41">
        <f t="shared" si="5"/>
        <v>807294.38</v>
      </c>
      <c r="I247" s="41">
        <f t="shared" si="5"/>
        <v>182104.61</v>
      </c>
      <c r="J247" s="41">
        <f t="shared" si="5"/>
        <v>54223.67</v>
      </c>
      <c r="K247" s="41">
        <f t="shared" si="5"/>
        <v>44073.310000000005</v>
      </c>
      <c r="L247" s="41">
        <f t="shared" si="5"/>
        <v>3301453.6300000008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2488546.75</v>
      </c>
      <c r="G257" s="41">
        <f t="shared" si="8"/>
        <v>1200006.56</v>
      </c>
      <c r="H257" s="41">
        <f t="shared" si="8"/>
        <v>1084402.24</v>
      </c>
      <c r="I257" s="41">
        <f t="shared" si="8"/>
        <v>281950.86</v>
      </c>
      <c r="J257" s="41">
        <f t="shared" si="8"/>
        <v>82895.16</v>
      </c>
      <c r="K257" s="41">
        <f t="shared" si="8"/>
        <v>66352.62000000001</v>
      </c>
      <c r="L257" s="41">
        <f t="shared" si="8"/>
        <v>5204154.1900000013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650000</v>
      </c>
      <c r="L260" s="19">
        <f>SUM(F260:K260)</f>
        <v>650000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398481.26</v>
      </c>
      <c r="L261" s="19">
        <f>SUM(F261:K261)</f>
        <v>398481.26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550.66</v>
      </c>
      <c r="L263" s="19">
        <f>SUM(F263:K263)</f>
        <v>550.66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</v>
      </c>
      <c r="L266" s="19">
        <f t="shared" si="9"/>
        <v>25000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22236</v>
      </c>
      <c r="L268" s="19">
        <f t="shared" si="9"/>
        <v>22236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1096267.92</v>
      </c>
      <c r="L270" s="41">
        <f t="shared" si="9"/>
        <v>1096267.92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2488546.75</v>
      </c>
      <c r="G271" s="42">
        <f t="shared" si="11"/>
        <v>1200006.56</v>
      </c>
      <c r="H271" s="42">
        <f t="shared" si="11"/>
        <v>1084402.24</v>
      </c>
      <c r="I271" s="42">
        <f t="shared" si="11"/>
        <v>281950.86</v>
      </c>
      <c r="J271" s="42">
        <f t="shared" si="11"/>
        <v>82895.16</v>
      </c>
      <c r="K271" s="42">
        <f t="shared" si="11"/>
        <v>1162620.54</v>
      </c>
      <c r="L271" s="42">
        <f t="shared" si="11"/>
        <v>6300422.1100000013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2318.75</v>
      </c>
      <c r="G295" s="18">
        <v>454.26</v>
      </c>
      <c r="H295" s="18">
        <v>2530.5</v>
      </c>
      <c r="I295" s="18">
        <v>1578.5</v>
      </c>
      <c r="J295" s="18"/>
      <c r="K295" s="18"/>
      <c r="L295" s="19">
        <f>SUM(F295:K295)</f>
        <v>6882.01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54900.32</v>
      </c>
      <c r="G296" s="18">
        <v>7805.9</v>
      </c>
      <c r="H296" s="18">
        <v>385</v>
      </c>
      <c r="I296" s="18">
        <v>1225</v>
      </c>
      <c r="J296" s="18">
        <v>1549.8</v>
      </c>
      <c r="K296" s="18"/>
      <c r="L296" s="19">
        <f>SUM(F296:K296)</f>
        <v>65866.02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4528.12</v>
      </c>
      <c r="G301" s="18">
        <v>937</v>
      </c>
      <c r="H301" s="18">
        <v>2465.9</v>
      </c>
      <c r="I301" s="18"/>
      <c r="J301" s="18"/>
      <c r="K301" s="18"/>
      <c r="L301" s="19">
        <f t="shared" si="14"/>
        <v>7931.02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>
        <v>1431.44</v>
      </c>
      <c r="L302" s="19">
        <f t="shared" si="14"/>
        <v>1431.44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61747.19</v>
      </c>
      <c r="G309" s="42">
        <f t="shared" si="15"/>
        <v>9197.16</v>
      </c>
      <c r="H309" s="42">
        <f t="shared" si="15"/>
        <v>5381.4</v>
      </c>
      <c r="I309" s="42">
        <f t="shared" si="15"/>
        <v>2803.5</v>
      </c>
      <c r="J309" s="42">
        <f t="shared" si="15"/>
        <v>1549.8</v>
      </c>
      <c r="K309" s="42">
        <f t="shared" si="15"/>
        <v>1431.44</v>
      </c>
      <c r="L309" s="41">
        <f t="shared" si="15"/>
        <v>82110.490000000005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4306.25</v>
      </c>
      <c r="G314" s="18">
        <v>843.65</v>
      </c>
      <c r="H314" s="18">
        <v>4699.5</v>
      </c>
      <c r="I314" s="18">
        <v>2931.5</v>
      </c>
      <c r="J314" s="18"/>
      <c r="K314" s="18"/>
      <c r="L314" s="19">
        <f>SUM(F314:K314)</f>
        <v>12780.9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11040.17</v>
      </c>
      <c r="G315" s="18">
        <v>1257.5999999999999</v>
      </c>
      <c r="H315" s="18">
        <v>715</v>
      </c>
      <c r="I315" s="18">
        <v>2275</v>
      </c>
      <c r="J315" s="18">
        <v>2878.2</v>
      </c>
      <c r="K315" s="18"/>
      <c r="L315" s="19">
        <f>SUM(F315:K315)</f>
        <v>18165.97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8409.3799999999992</v>
      </c>
      <c r="G320" s="18">
        <v>1740.16</v>
      </c>
      <c r="H320" s="18">
        <v>4579.53</v>
      </c>
      <c r="I320" s="18"/>
      <c r="J320" s="18"/>
      <c r="K320" s="18"/>
      <c r="L320" s="19">
        <f t="shared" si="16"/>
        <v>14729.07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>
        <v>2658.4</v>
      </c>
      <c r="L321" s="19">
        <f t="shared" si="16"/>
        <v>2658.4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23755.8</v>
      </c>
      <c r="G328" s="42">
        <f t="shared" si="17"/>
        <v>3841.41</v>
      </c>
      <c r="H328" s="42">
        <f t="shared" si="17"/>
        <v>9994.0299999999988</v>
      </c>
      <c r="I328" s="42">
        <f t="shared" si="17"/>
        <v>5206.5</v>
      </c>
      <c r="J328" s="42">
        <f t="shared" si="17"/>
        <v>2878.2</v>
      </c>
      <c r="K328" s="42">
        <f t="shared" si="17"/>
        <v>2658.4</v>
      </c>
      <c r="L328" s="41">
        <f t="shared" si="17"/>
        <v>48334.340000000004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85502.99</v>
      </c>
      <c r="G338" s="41">
        <f t="shared" si="20"/>
        <v>13038.57</v>
      </c>
      <c r="H338" s="41">
        <f t="shared" si="20"/>
        <v>15375.429999999998</v>
      </c>
      <c r="I338" s="41">
        <f t="shared" si="20"/>
        <v>8010</v>
      </c>
      <c r="J338" s="41">
        <f t="shared" si="20"/>
        <v>4428</v>
      </c>
      <c r="K338" s="41">
        <f t="shared" si="20"/>
        <v>4089.84</v>
      </c>
      <c r="L338" s="41">
        <f t="shared" si="20"/>
        <v>130444.83000000002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85502.99</v>
      </c>
      <c r="G352" s="41">
        <f>G338</f>
        <v>13038.57</v>
      </c>
      <c r="H352" s="41">
        <f>H338</f>
        <v>15375.429999999998</v>
      </c>
      <c r="I352" s="41">
        <f>I338</f>
        <v>8010</v>
      </c>
      <c r="J352" s="41">
        <f>J338</f>
        <v>4428</v>
      </c>
      <c r="K352" s="47">
        <f>K338+K351</f>
        <v>4089.84</v>
      </c>
      <c r="L352" s="41">
        <f>L338+L351</f>
        <v>130444.83000000002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49623.7</v>
      </c>
      <c r="I359" s="18"/>
      <c r="J359" s="18"/>
      <c r="K359" s="18"/>
      <c r="L359" s="19">
        <f>SUM(F359:K359)</f>
        <v>49623.7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92158.3</v>
      </c>
      <c r="I360" s="18"/>
      <c r="J360" s="18"/>
      <c r="K360" s="18"/>
      <c r="L360" s="19">
        <f>SUM(F360:K360)</f>
        <v>92158.3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141782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141782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14.1</v>
      </c>
      <c r="I396" s="18"/>
      <c r="J396" s="24" t="s">
        <v>289</v>
      </c>
      <c r="K396" s="24" t="s">
        <v>289</v>
      </c>
      <c r="L396" s="56">
        <f t="shared" si="26"/>
        <v>14.1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44.96</v>
      </c>
      <c r="I397" s="18"/>
      <c r="J397" s="24" t="s">
        <v>289</v>
      </c>
      <c r="K397" s="24" t="s">
        <v>289</v>
      </c>
      <c r="L397" s="56">
        <f t="shared" si="26"/>
        <v>44.96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25000</v>
      </c>
      <c r="H399" s="18">
        <v>18.16</v>
      </c>
      <c r="I399" s="18"/>
      <c r="J399" s="24" t="s">
        <v>289</v>
      </c>
      <c r="K399" s="24" t="s">
        <v>289</v>
      </c>
      <c r="L399" s="56">
        <f t="shared" si="26"/>
        <v>25018.16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77.22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25077.22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77.22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25077.22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251479.83</v>
      </c>
      <c r="G439" s="18">
        <v>55235.65</v>
      </c>
      <c r="H439" s="18"/>
      <c r="I439" s="56">
        <f t="shared" ref="I439:I445" si="33">SUM(F439:H439)</f>
        <v>306715.48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251479.83</v>
      </c>
      <c r="G446" s="13">
        <f>SUM(G439:G445)</f>
        <v>55235.65</v>
      </c>
      <c r="H446" s="13">
        <f>SUM(H439:H445)</f>
        <v>0</v>
      </c>
      <c r="I446" s="13">
        <f>SUM(I439:I445)</f>
        <v>306715.48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251479.83</v>
      </c>
      <c r="G459" s="18">
        <v>55235.65</v>
      </c>
      <c r="H459" s="18"/>
      <c r="I459" s="56">
        <f t="shared" si="34"/>
        <v>306715.48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251479.83</v>
      </c>
      <c r="G460" s="83">
        <f>SUM(G454:G459)</f>
        <v>55235.65</v>
      </c>
      <c r="H460" s="83">
        <f>SUM(H454:H459)</f>
        <v>0</v>
      </c>
      <c r="I460" s="83">
        <f>SUM(I454:I459)</f>
        <v>306715.48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251479.83</v>
      </c>
      <c r="G461" s="42">
        <f>G452+G460</f>
        <v>55235.65</v>
      </c>
      <c r="H461" s="42">
        <f>H452+H460</f>
        <v>0</v>
      </c>
      <c r="I461" s="42">
        <f>I452+I460</f>
        <v>306715.48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176929.74</v>
      </c>
      <c r="G465" s="18">
        <v>2158.11</v>
      </c>
      <c r="H465" s="18">
        <v>0</v>
      </c>
      <c r="I465" s="18"/>
      <c r="J465" s="18">
        <v>281638.26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6347014.9299999997</v>
      </c>
      <c r="G468" s="18">
        <v>139623.89000000001</v>
      </c>
      <c r="H468" s="18">
        <v>130444.83</v>
      </c>
      <c r="I468" s="18"/>
      <c r="J468" s="18">
        <v>25077.22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6347014.9299999997</v>
      </c>
      <c r="G470" s="53">
        <f>SUM(G468:G469)</f>
        <v>139623.89000000001</v>
      </c>
      <c r="H470" s="53">
        <f>SUM(H468:H469)</f>
        <v>130444.83</v>
      </c>
      <c r="I470" s="53">
        <f>SUM(I468:I469)</f>
        <v>0</v>
      </c>
      <c r="J470" s="53">
        <f>SUM(J468:J469)</f>
        <v>25077.22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6300422.1100000003</v>
      </c>
      <c r="G472" s="18">
        <v>141782</v>
      </c>
      <c r="H472" s="18">
        <v>130444.83</v>
      </c>
      <c r="I472" s="18"/>
      <c r="J472" s="18">
        <v>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6300422.1100000003</v>
      </c>
      <c r="G474" s="53">
        <f>SUM(G472:G473)</f>
        <v>141782</v>
      </c>
      <c r="H474" s="53">
        <f>SUM(H472:H473)</f>
        <v>130444.83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223522.55999999959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306715.48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12948800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4.04</v>
      </c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9050000</v>
      </c>
      <c r="G495" s="18"/>
      <c r="H495" s="18"/>
      <c r="I495" s="18"/>
      <c r="J495" s="18"/>
      <c r="K495" s="53">
        <f>SUM(F495:J495)</f>
        <v>9050000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650000</v>
      </c>
      <c r="G497" s="18"/>
      <c r="H497" s="18"/>
      <c r="I497" s="18"/>
      <c r="J497" s="18"/>
      <c r="K497" s="53">
        <f t="shared" si="35"/>
        <v>650000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8400000</v>
      </c>
      <c r="G498" s="204"/>
      <c r="H498" s="204"/>
      <c r="I498" s="204"/>
      <c r="J498" s="204"/>
      <c r="K498" s="205">
        <f t="shared" si="35"/>
        <v>8400000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2454112.6</v>
      </c>
      <c r="G499" s="18"/>
      <c r="H499" s="18"/>
      <c r="I499" s="18"/>
      <c r="J499" s="18"/>
      <c r="K499" s="53">
        <f t="shared" si="35"/>
        <v>2454112.6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10854112.6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10854112.6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650000</v>
      </c>
      <c r="G501" s="204"/>
      <c r="H501" s="204"/>
      <c r="I501" s="204"/>
      <c r="J501" s="204"/>
      <c r="K501" s="205">
        <f t="shared" si="35"/>
        <v>650000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365981.26</v>
      </c>
      <c r="G502" s="18"/>
      <c r="H502" s="18"/>
      <c r="I502" s="18"/>
      <c r="J502" s="18"/>
      <c r="K502" s="53">
        <f t="shared" si="35"/>
        <v>365981.26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1015981.26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1015981.26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58000</v>
      </c>
      <c r="G512" s="24" t="s">
        <v>289</v>
      </c>
      <c r="H512" s="18">
        <v>2900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16013602.73</v>
      </c>
      <c r="G513" s="24" t="s">
        <v>289</v>
      </c>
      <c r="H513" s="18">
        <v>3255909.92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231518</v>
      </c>
      <c r="G514" s="24" t="s">
        <v>289</v>
      </c>
      <c r="H514" s="18">
        <v>122383.23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>
        <v>348576.51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16303120.73</v>
      </c>
      <c r="G517" s="42">
        <f>SUM(G511:G516)</f>
        <v>0</v>
      </c>
      <c r="H517" s="42">
        <f>SUM(H511:H516)</f>
        <v>3381193.15</v>
      </c>
      <c r="I517" s="42">
        <f>SUM(I511:I516)</f>
        <v>348576.51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364500.6</v>
      </c>
      <c r="G522" s="18">
        <v>206696.89</v>
      </c>
      <c r="H522" s="18">
        <v>1523.75</v>
      </c>
      <c r="I522" s="18">
        <v>3239.99</v>
      </c>
      <c r="J522" s="18">
        <v>1761.84</v>
      </c>
      <c r="K522" s="18"/>
      <c r="L522" s="88">
        <f>SUM(F522:K522)</f>
        <v>577723.06999999995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172790.43</v>
      </c>
      <c r="G523" s="18">
        <v>112372.3</v>
      </c>
      <c r="H523" s="18">
        <v>269925.52</v>
      </c>
      <c r="I523" s="18">
        <v>6000.38</v>
      </c>
      <c r="J523" s="18">
        <v>3271.99</v>
      </c>
      <c r="K523" s="18"/>
      <c r="L523" s="88">
        <f>SUM(F523:K523)</f>
        <v>564360.62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537291.03</v>
      </c>
      <c r="G524" s="108">
        <f t="shared" ref="G524:L524" si="36">SUM(G521:G523)</f>
        <v>319069.19</v>
      </c>
      <c r="H524" s="108">
        <f t="shared" si="36"/>
        <v>271449.27</v>
      </c>
      <c r="I524" s="108">
        <f t="shared" si="36"/>
        <v>9240.369999999999</v>
      </c>
      <c r="J524" s="108">
        <f t="shared" si="36"/>
        <v>5033.83</v>
      </c>
      <c r="K524" s="108">
        <f t="shared" si="36"/>
        <v>0</v>
      </c>
      <c r="L524" s="89">
        <f t="shared" si="36"/>
        <v>1142083.69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41669.21</v>
      </c>
      <c r="I527" s="18"/>
      <c r="J527" s="18"/>
      <c r="K527" s="18"/>
      <c r="L527" s="88">
        <f>SUM(F527:K527)</f>
        <v>41669.21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37633.67</v>
      </c>
      <c r="I528" s="18"/>
      <c r="J528" s="18"/>
      <c r="K528" s="18"/>
      <c r="L528" s="88">
        <f>SUM(F528:K528)</f>
        <v>37633.67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79302.880000000005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79302.880000000005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607.36</v>
      </c>
      <c r="I542" s="18"/>
      <c r="J542" s="18"/>
      <c r="K542" s="18"/>
      <c r="L542" s="88">
        <f>SUM(F542:K542)</f>
        <v>607.36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14420.04</v>
      </c>
      <c r="I543" s="18"/>
      <c r="J543" s="18"/>
      <c r="K543" s="18"/>
      <c r="L543" s="88">
        <f>SUM(F543:K543)</f>
        <v>14420.04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15027.400000000001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15027.400000000001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537291.03</v>
      </c>
      <c r="G545" s="89">
        <f t="shared" ref="G545:L545" si="41">G524+G529+G534+G539+G544</f>
        <v>319069.19</v>
      </c>
      <c r="H545" s="89">
        <f t="shared" si="41"/>
        <v>365779.55000000005</v>
      </c>
      <c r="I545" s="89">
        <f t="shared" si="41"/>
        <v>9240.369999999999</v>
      </c>
      <c r="J545" s="89">
        <f t="shared" si="41"/>
        <v>5033.83</v>
      </c>
      <c r="K545" s="89">
        <f t="shared" si="41"/>
        <v>0</v>
      </c>
      <c r="L545" s="89">
        <f t="shared" si="41"/>
        <v>1236413.9699999997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577723.06999999995</v>
      </c>
      <c r="G550" s="87">
        <f>L527</f>
        <v>41669.21</v>
      </c>
      <c r="H550" s="87">
        <f>L532</f>
        <v>0</v>
      </c>
      <c r="I550" s="87">
        <f>L537</f>
        <v>0</v>
      </c>
      <c r="J550" s="87">
        <f>L542</f>
        <v>607.36</v>
      </c>
      <c r="K550" s="87">
        <f>SUM(F550:J550)</f>
        <v>619999.6399999999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564360.62</v>
      </c>
      <c r="G551" s="87">
        <f>L528</f>
        <v>37633.67</v>
      </c>
      <c r="H551" s="87">
        <f>L533</f>
        <v>0</v>
      </c>
      <c r="I551" s="87">
        <f>L538</f>
        <v>0</v>
      </c>
      <c r="J551" s="87">
        <f>L543</f>
        <v>14420.04</v>
      </c>
      <c r="K551" s="87">
        <f>SUM(F551:J551)</f>
        <v>616414.33000000007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1142083.69</v>
      </c>
      <c r="G552" s="89">
        <f t="shared" si="42"/>
        <v>79302.880000000005</v>
      </c>
      <c r="H552" s="89">
        <f t="shared" si="42"/>
        <v>0</v>
      </c>
      <c r="I552" s="89">
        <f t="shared" si="42"/>
        <v>0</v>
      </c>
      <c r="J552" s="89">
        <f t="shared" si="42"/>
        <v>15027.400000000001</v>
      </c>
      <c r="K552" s="89">
        <f t="shared" si="42"/>
        <v>1236413.97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>
        <v>1228.5</v>
      </c>
      <c r="J568" s="18"/>
      <c r="K568" s="18"/>
      <c r="L568" s="88">
        <f>SUM(F568:K568)</f>
        <v>1228.5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>
        <v>2281.5</v>
      </c>
      <c r="J569" s="18"/>
      <c r="K569" s="18"/>
      <c r="L569" s="88">
        <f>SUM(F569:K569)</f>
        <v>2281.5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3510</v>
      </c>
      <c r="J570" s="193">
        <f t="shared" si="45"/>
        <v>0</v>
      </c>
      <c r="K570" s="193">
        <f t="shared" si="45"/>
        <v>0</v>
      </c>
      <c r="L570" s="193">
        <f t="shared" si="45"/>
        <v>3510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3510</v>
      </c>
      <c r="J571" s="89">
        <f t="shared" si="46"/>
        <v>0</v>
      </c>
      <c r="K571" s="89">
        <f t="shared" si="46"/>
        <v>0</v>
      </c>
      <c r="L571" s="89">
        <f t="shared" si="46"/>
        <v>3510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178414.75</v>
      </c>
      <c r="I582" s="87">
        <f t="shared" si="47"/>
        <v>178414.75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81476.03</v>
      </c>
      <c r="I583" s="87">
        <f t="shared" si="47"/>
        <v>81476.03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25658.85</v>
      </c>
      <c r="I584" s="87">
        <f t="shared" si="47"/>
        <v>25658.85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/>
      <c r="K591" s="104">
        <f t="shared" ref="K591:K597" si="48">SUM(H591:J591)</f>
        <v>0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>
        <v>607.36</v>
      </c>
      <c r="J592" s="18">
        <v>14420.04</v>
      </c>
      <c r="K592" s="104">
        <f t="shared" si="48"/>
        <v>15027.400000000001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28131</v>
      </c>
      <c r="K593" s="104">
        <f t="shared" si="48"/>
        <v>28131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16583.41</v>
      </c>
      <c r="J594" s="18">
        <v>30797.83</v>
      </c>
      <c r="K594" s="104">
        <f t="shared" si="48"/>
        <v>47381.240000000005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v>5017.8</v>
      </c>
      <c r="J595" s="18">
        <v>9318.77</v>
      </c>
      <c r="K595" s="104">
        <f t="shared" si="48"/>
        <v>14336.57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22208.57</v>
      </c>
      <c r="J598" s="108">
        <f>SUM(J591:J597)</f>
        <v>82667.64</v>
      </c>
      <c r="K598" s="108">
        <f>SUM(K591:K597)</f>
        <v>104876.21000000002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>
        <v>30221.29</v>
      </c>
      <c r="J604" s="18">
        <v>57101.87</v>
      </c>
      <c r="K604" s="104">
        <f>SUM(H604:J604)</f>
        <v>87323.16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30221.29</v>
      </c>
      <c r="J605" s="108">
        <f>SUM(J602:J604)</f>
        <v>57101.87</v>
      </c>
      <c r="K605" s="108">
        <f>SUM(K602:K604)</f>
        <v>87323.16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27550.82</v>
      </c>
      <c r="G612" s="18">
        <v>5290.71</v>
      </c>
      <c r="H612" s="18"/>
      <c r="I612" s="18"/>
      <c r="J612" s="18"/>
      <c r="K612" s="18"/>
      <c r="L612" s="88">
        <f>SUM(F612:K612)</f>
        <v>32841.53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27550.82</v>
      </c>
      <c r="G614" s="108">
        <f t="shared" si="49"/>
        <v>5290.71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32841.53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348490.73000000004</v>
      </c>
      <c r="H617" s="109">
        <f>SUM(F52)</f>
        <v>348490.73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306715.48</v>
      </c>
      <c r="H621" s="109">
        <f>SUM(J52)</f>
        <v>306715.48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223522.56</v>
      </c>
      <c r="H622" s="109">
        <f>F476</f>
        <v>223522.55999999959</v>
      </c>
      <c r="I622" s="121" t="s">
        <v>101</v>
      </c>
      <c r="J622" s="109">
        <f t="shared" ref="J622:J655" si="50">G622-H622</f>
        <v>4.0745362639427185E-10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306715.48</v>
      </c>
      <c r="H626" s="109">
        <f>J476</f>
        <v>306715.48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6347014.9299999997</v>
      </c>
      <c r="H627" s="104">
        <f>SUM(F468)</f>
        <v>6347014.9299999997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139623.89000000001</v>
      </c>
      <c r="H628" s="104">
        <f>SUM(G468)</f>
        <v>139623.89000000001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130444.82999999999</v>
      </c>
      <c r="H629" s="104">
        <f>SUM(H468)</f>
        <v>130444.83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25077.22</v>
      </c>
      <c r="H631" s="104">
        <f>SUM(J468)</f>
        <v>25077.22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6300422.1100000013</v>
      </c>
      <c r="H632" s="104">
        <f>SUM(F472)</f>
        <v>6300422.1100000003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130444.83000000002</v>
      </c>
      <c r="H633" s="104">
        <f>SUM(H472)</f>
        <v>130444.83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141782</v>
      </c>
      <c r="H635" s="104">
        <f>SUM(G472)</f>
        <v>141782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25077.22</v>
      </c>
      <c r="H637" s="164">
        <f>SUM(J468)</f>
        <v>25077.22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251479.83</v>
      </c>
      <c r="H639" s="104">
        <f>SUM(F461)</f>
        <v>251479.83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55235.65</v>
      </c>
      <c r="H640" s="104">
        <f>SUM(G461)</f>
        <v>55235.65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306715.48</v>
      </c>
      <c r="H642" s="104">
        <f>SUM(I461)</f>
        <v>306715.48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77.22</v>
      </c>
      <c r="H644" s="104">
        <f>H408</f>
        <v>77.22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</v>
      </c>
      <c r="H645" s="104">
        <f>G408</f>
        <v>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25077.22</v>
      </c>
      <c r="H646" s="104">
        <f>L408</f>
        <v>25077.22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104876.21000000002</v>
      </c>
      <c r="H647" s="104">
        <f>L208+L226+L244</f>
        <v>104876.20999999999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87323.16</v>
      </c>
      <c r="H648" s="104">
        <f>(J257+J338)-(J255+J336)</f>
        <v>87323.16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22208.57</v>
      </c>
      <c r="H650" s="104">
        <f>I598</f>
        <v>22208.57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82667.64</v>
      </c>
      <c r="H651" s="104">
        <f>J598</f>
        <v>82667.64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550.66</v>
      </c>
      <c r="H652" s="104">
        <f>K263+K345</f>
        <v>550.66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</v>
      </c>
      <c r="H655" s="104">
        <f>K266+K347</f>
        <v>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2034434.75</v>
      </c>
      <c r="H660" s="19">
        <f>(L247+L328+L360)</f>
        <v>3441946.2700000005</v>
      </c>
      <c r="I660" s="19">
        <f>SUM(F660:H660)</f>
        <v>5476381.0200000005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31264.050999999999</v>
      </c>
      <c r="H661" s="19">
        <f>(L360/IF(SUM(L358:L360)=0,1,SUM(L358:L360))*(SUM(G97:G110)))</f>
        <v>58061.809000000001</v>
      </c>
      <c r="I661" s="19">
        <f>SUM(F661:H661)</f>
        <v>89325.86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22208.57</v>
      </c>
      <c r="H662" s="19">
        <f>(L244+L325)-(J244+J325)</f>
        <v>82667.64</v>
      </c>
      <c r="I662" s="19">
        <f>SUM(F662:H662)</f>
        <v>104876.20999999999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63062.82</v>
      </c>
      <c r="H663" s="199">
        <f>SUM(H575:H587)+SUM(J602:J604)+L613</f>
        <v>342651.5</v>
      </c>
      <c r="I663" s="19">
        <f>SUM(F663:H663)</f>
        <v>405714.32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1917899.3089999999</v>
      </c>
      <c r="H664" s="19">
        <f>H660-SUM(H661:H663)</f>
        <v>2958565.3210000005</v>
      </c>
      <c r="I664" s="19">
        <f>I660-SUM(I661:I663)</f>
        <v>4876464.6300000008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>
        <v>98.9</v>
      </c>
      <c r="H665" s="248">
        <v>159.74</v>
      </c>
      <c r="I665" s="19">
        <f>SUM(F665:H665)</f>
        <v>258.64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>
        <f>ROUND(G664/G665,2)</f>
        <v>19392.310000000001</v>
      </c>
      <c r="H667" s="19">
        <f>ROUND(H664/H665,2)</f>
        <v>18521.13</v>
      </c>
      <c r="I667" s="19">
        <f>ROUND(I664/I665,2)</f>
        <v>18854.259999999998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-3.38</v>
      </c>
      <c r="I670" s="19">
        <f>SUM(F670:H670)</f>
        <v>-3.38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>
        <f>ROUND((G664+G669)/(G665+G670),2)</f>
        <v>19392.310000000001</v>
      </c>
      <c r="H672" s="19">
        <f>ROUND((H664+H669)/(H665+H670),2)</f>
        <v>18921.5</v>
      </c>
      <c r="I672" s="19">
        <f>ROUND((I664+I669)/(I665+I670),2)</f>
        <v>19103.91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5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PROFILE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1215139.42</v>
      </c>
      <c r="C9" s="229">
        <f>'DOE25'!G197+'DOE25'!G215+'DOE25'!G233+'DOE25'!G276+'DOE25'!G295+'DOE25'!G314</f>
        <v>550988.44000000006</v>
      </c>
    </row>
    <row r="10" spans="1:3" x14ac:dyDescent="0.2">
      <c r="A10" t="s">
        <v>779</v>
      </c>
      <c r="B10" s="240">
        <v>1167811.68</v>
      </c>
      <c r="C10" s="240">
        <v>518900.12</v>
      </c>
    </row>
    <row r="11" spans="1:3" x14ac:dyDescent="0.2">
      <c r="A11" t="s">
        <v>780</v>
      </c>
      <c r="B11" s="240">
        <v>33245.24</v>
      </c>
      <c r="C11" s="240">
        <v>31011</v>
      </c>
    </row>
    <row r="12" spans="1:3" x14ac:dyDescent="0.2">
      <c r="A12" t="s">
        <v>781</v>
      </c>
      <c r="B12" s="240">
        <v>14082.5</v>
      </c>
      <c r="C12" s="240">
        <v>1077.32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1215139.42</v>
      </c>
      <c r="C13" s="231">
        <f>SUM(C10:C12)</f>
        <v>550988.43999999994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537291.03</v>
      </c>
      <c r="C18" s="229">
        <f>'DOE25'!G198+'DOE25'!G216+'DOE25'!G234+'DOE25'!G277+'DOE25'!G296+'DOE25'!G315</f>
        <v>319069.19</v>
      </c>
    </row>
    <row r="19" spans="1:3" x14ac:dyDescent="0.2">
      <c r="A19" t="s">
        <v>779</v>
      </c>
      <c r="B19" s="240">
        <v>218817.03</v>
      </c>
      <c r="C19" s="240">
        <v>83202.720000000001</v>
      </c>
    </row>
    <row r="20" spans="1:3" x14ac:dyDescent="0.2">
      <c r="A20" t="s">
        <v>780</v>
      </c>
      <c r="B20" s="240">
        <v>318474</v>
      </c>
      <c r="C20" s="240">
        <v>235866.47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537291.03</v>
      </c>
      <c r="C22" s="231">
        <f>SUM(C19:C21)</f>
        <v>319069.19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107988</v>
      </c>
      <c r="C27" s="234">
        <f>'DOE25'!G199+'DOE25'!G217+'DOE25'!G235+'DOE25'!G278+'DOE25'!G297+'DOE25'!G316</f>
        <v>55456.179999999993</v>
      </c>
    </row>
    <row r="28" spans="1:3" x14ac:dyDescent="0.2">
      <c r="A28" t="s">
        <v>779</v>
      </c>
      <c r="B28" s="240">
        <v>107988</v>
      </c>
      <c r="C28" s="240">
        <v>55456.18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107988</v>
      </c>
      <c r="C31" s="231">
        <f>SUM(C28:C30)</f>
        <v>55456.18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94568.5</v>
      </c>
      <c r="C36" s="235">
        <f>'DOE25'!G200+'DOE25'!G218+'DOE25'!G236+'DOE25'!G279+'DOE25'!G298+'DOE25'!G317</f>
        <v>15457.5</v>
      </c>
    </row>
    <row r="37" spans="1:3" x14ac:dyDescent="0.2">
      <c r="A37" t="s">
        <v>779</v>
      </c>
      <c r="B37" s="240">
        <v>37792.5</v>
      </c>
      <c r="C37" s="240">
        <v>8783.6200000000008</v>
      </c>
    </row>
    <row r="38" spans="1:3" x14ac:dyDescent="0.2">
      <c r="A38" t="s">
        <v>780</v>
      </c>
      <c r="B38" s="240">
        <v>24026.5</v>
      </c>
      <c r="C38" s="240">
        <v>4168.54</v>
      </c>
    </row>
    <row r="39" spans="1:3" x14ac:dyDescent="0.2">
      <c r="A39" t="s">
        <v>781</v>
      </c>
      <c r="B39" s="240">
        <v>32749.5</v>
      </c>
      <c r="C39" s="240">
        <v>2505.34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94568.5</v>
      </c>
      <c r="C40" s="231">
        <f>SUM(C37:C39)</f>
        <v>15457.5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PROFILE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3346993.4400000004</v>
      </c>
      <c r="D5" s="20">
        <f>SUM('DOE25'!L197:L200)+SUM('DOE25'!L215:L218)+SUM('DOE25'!L233:L236)-F5-G5</f>
        <v>3259255.4300000006</v>
      </c>
      <c r="E5" s="243"/>
      <c r="F5" s="255">
        <f>SUM('DOE25'!J197:J200)+SUM('DOE25'!J215:J218)+SUM('DOE25'!J233:J236)</f>
        <v>72596.960000000006</v>
      </c>
      <c r="G5" s="53">
        <f>SUM('DOE25'!K197:K200)+SUM('DOE25'!K215:K218)+SUM('DOE25'!K233:K236)</f>
        <v>15141.05</v>
      </c>
      <c r="H5" s="259"/>
    </row>
    <row r="6" spans="1:9" x14ac:dyDescent="0.2">
      <c r="A6" s="32">
        <v>2100</v>
      </c>
      <c r="B6" t="s">
        <v>801</v>
      </c>
      <c r="C6" s="245">
        <f t="shared" si="0"/>
        <v>270441.72000000003</v>
      </c>
      <c r="D6" s="20">
        <f>'DOE25'!L202+'DOE25'!L220+'DOE25'!L238-F6-G6</f>
        <v>269728.72000000003</v>
      </c>
      <c r="E6" s="243"/>
      <c r="F6" s="255">
        <f>'DOE25'!J202+'DOE25'!J220+'DOE25'!J238</f>
        <v>713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216837.47999999998</v>
      </c>
      <c r="D7" s="20">
        <f>'DOE25'!L203+'DOE25'!L221+'DOE25'!L239-F7-G7</f>
        <v>183249.24999999997</v>
      </c>
      <c r="E7" s="243"/>
      <c r="F7" s="255">
        <f>'DOE25'!J203+'DOE25'!J221+'DOE25'!J239</f>
        <v>699.26</v>
      </c>
      <c r="G7" s="53">
        <f>'DOE25'!K203+'DOE25'!K221+'DOE25'!K239</f>
        <v>32888.97</v>
      </c>
      <c r="H7" s="259"/>
    </row>
    <row r="8" spans="1:9" x14ac:dyDescent="0.2">
      <c r="A8" s="32">
        <v>2300</v>
      </c>
      <c r="B8" t="s">
        <v>802</v>
      </c>
      <c r="C8" s="245">
        <f t="shared" si="0"/>
        <v>204048.80000000005</v>
      </c>
      <c r="D8" s="243"/>
      <c r="E8" s="20">
        <f>'DOE25'!L204+'DOE25'!L222+'DOE25'!L240-F8-G8-D9-D11</f>
        <v>191525.44000000006</v>
      </c>
      <c r="F8" s="255">
        <f>'DOE25'!J204+'DOE25'!J222+'DOE25'!J240</f>
        <v>0</v>
      </c>
      <c r="G8" s="53">
        <f>'DOE25'!K204+'DOE25'!K222+'DOE25'!K240</f>
        <v>12523.36</v>
      </c>
      <c r="H8" s="259"/>
    </row>
    <row r="9" spans="1:9" x14ac:dyDescent="0.2">
      <c r="A9" s="32">
        <v>2310</v>
      </c>
      <c r="B9" t="s">
        <v>818</v>
      </c>
      <c r="C9" s="245">
        <f t="shared" si="0"/>
        <v>60491.28</v>
      </c>
      <c r="D9" s="244">
        <v>60491.28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8690</v>
      </c>
      <c r="D10" s="243"/>
      <c r="E10" s="244">
        <v>8690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51012.2</v>
      </c>
      <c r="D11" s="244">
        <v>51012.2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368792.27</v>
      </c>
      <c r="D12" s="20">
        <f>'DOE25'!L205+'DOE25'!L223+'DOE25'!L241-F12-G12</f>
        <v>361805.05000000005</v>
      </c>
      <c r="E12" s="243"/>
      <c r="F12" s="255">
        <f>'DOE25'!J205+'DOE25'!J223+'DOE25'!J241</f>
        <v>1187.98</v>
      </c>
      <c r="G12" s="53">
        <f>'DOE25'!K205+'DOE25'!K223+'DOE25'!K241</f>
        <v>5799.24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580660.79</v>
      </c>
      <c r="D14" s="20">
        <f>'DOE25'!L207+'DOE25'!L225+'DOE25'!L243-F14-G14</f>
        <v>572962.83000000007</v>
      </c>
      <c r="E14" s="243"/>
      <c r="F14" s="255">
        <f>'DOE25'!J207+'DOE25'!J225+'DOE25'!J243</f>
        <v>7697.96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104876.20999999999</v>
      </c>
      <c r="D15" s="20">
        <f>'DOE25'!L208+'DOE25'!L226+'DOE25'!L244-F15-G15</f>
        <v>104876.20999999999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1048481.26</v>
      </c>
      <c r="D25" s="243"/>
      <c r="E25" s="243"/>
      <c r="F25" s="258"/>
      <c r="G25" s="256"/>
      <c r="H25" s="257">
        <f>'DOE25'!L260+'DOE25'!L261+'DOE25'!L341+'DOE25'!L342</f>
        <v>1048481.26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141782</v>
      </c>
      <c r="D29" s="20">
        <f>'DOE25'!L358+'DOE25'!L359+'DOE25'!L360-'DOE25'!I367-F29-G29</f>
        <v>141782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130444.83000000002</v>
      </c>
      <c r="D31" s="20">
        <f>'DOE25'!L290+'DOE25'!L309+'DOE25'!L328+'DOE25'!L333+'DOE25'!L334+'DOE25'!L335-F31-G31</f>
        <v>121926.99000000002</v>
      </c>
      <c r="E31" s="243"/>
      <c r="F31" s="255">
        <f>'DOE25'!J290+'DOE25'!J309+'DOE25'!J328+'DOE25'!J333+'DOE25'!J334+'DOE25'!J335</f>
        <v>4428</v>
      </c>
      <c r="G31" s="53">
        <f>'DOE25'!K290+'DOE25'!K309+'DOE25'!K328+'DOE25'!K333+'DOE25'!K334+'DOE25'!K335</f>
        <v>4089.84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5127089.9600000009</v>
      </c>
      <c r="E33" s="246">
        <f>SUM(E5:E31)</f>
        <v>200215.44000000006</v>
      </c>
      <c r="F33" s="246">
        <f>SUM(F5:F31)</f>
        <v>87323.16</v>
      </c>
      <c r="G33" s="246">
        <f>SUM(G5:G31)</f>
        <v>70442.460000000006</v>
      </c>
      <c r="H33" s="246">
        <f>SUM(H5:H31)</f>
        <v>1048481.26</v>
      </c>
    </row>
    <row r="35" spans="2:8" ht="12" thickBot="1" x14ac:dyDescent="0.25">
      <c r="B35" s="253" t="s">
        <v>847</v>
      </c>
      <c r="D35" s="254">
        <f>E33</f>
        <v>200215.44000000006</v>
      </c>
      <c r="E35" s="249"/>
    </row>
    <row r="36" spans="2:8" ht="12" thickTop="1" x14ac:dyDescent="0.2">
      <c r="B36" t="s">
        <v>815</v>
      </c>
      <c r="D36" s="20">
        <f>D33</f>
        <v>5127089.9600000009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PROFILE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327968.27</v>
      </c>
      <c r="D8" s="95">
        <f>'DOE25'!G9</f>
        <v>-18062.580000000002</v>
      </c>
      <c r="E8" s="95">
        <f>'DOE25'!H9</f>
        <v>-3207.24</v>
      </c>
      <c r="F8" s="95">
        <f>'DOE25'!I9</f>
        <v>0</v>
      </c>
      <c r="G8" s="95">
        <f>'DOE25'!J9</f>
        <v>306715.48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8819.7000000000007</v>
      </c>
      <c r="D11" s="95">
        <f>'DOE25'!G12</f>
        <v>0</v>
      </c>
      <c r="E11" s="95">
        <f>'DOE25'!H12</f>
        <v>550.66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18062.580000000002</v>
      </c>
      <c r="E12" s="95">
        <f>'DOE25'!H13</f>
        <v>1853.08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11702.76</v>
      </c>
      <c r="D13" s="95">
        <f>'DOE25'!G14</f>
        <v>0</v>
      </c>
      <c r="E13" s="95">
        <f>'DOE25'!H14</f>
        <v>803.5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348490.73000000004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306715.48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550.66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124417.51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124968.17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306715.48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223522.56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223522.56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306715.48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348490.73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306715.48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4188024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11202.76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331.15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77.22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89325.86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15490.570000000002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27024.480000000003</v>
      </c>
      <c r="D62" s="130">
        <f>SUM(D57:D61)</f>
        <v>89325.86</v>
      </c>
      <c r="E62" s="130">
        <f>SUM(E57:E61)</f>
        <v>0</v>
      </c>
      <c r="F62" s="130">
        <f>SUM(F57:F61)</f>
        <v>0</v>
      </c>
      <c r="G62" s="130">
        <f>SUM(G57:G61)</f>
        <v>77.22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4215048.4800000004</v>
      </c>
      <c r="D63" s="22">
        <f>D56+D62</f>
        <v>89325.86</v>
      </c>
      <c r="E63" s="22">
        <f>E56+E62</f>
        <v>0</v>
      </c>
      <c r="F63" s="22">
        <f>F56+F62</f>
        <v>0</v>
      </c>
      <c r="G63" s="22">
        <f>G56+G62</f>
        <v>77.22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757060.02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867580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1624640.02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369536.36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45677.49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4432.6000000000004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1371.96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419646.44999999995</v>
      </c>
      <c r="D78" s="130">
        <f>SUM(D72:D77)</f>
        <v>1371.96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2044286.47</v>
      </c>
      <c r="D81" s="130">
        <f>SUM(D79:D80)+D78+D70</f>
        <v>1371.96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78198.42</v>
      </c>
      <c r="D88" s="95">
        <f>SUM('DOE25'!G153:G161)</f>
        <v>48375.41</v>
      </c>
      <c r="E88" s="95">
        <f>SUM('DOE25'!H153:H161)</f>
        <v>130444.82999999999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661.86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78860.28</v>
      </c>
      <c r="D91" s="131">
        <f>SUM(D85:D90)</f>
        <v>48375.41</v>
      </c>
      <c r="E91" s="131">
        <f>SUM(E85:E90)</f>
        <v>130444.82999999999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550.66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8819.7000000000007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8819.7000000000007</v>
      </c>
      <c r="D103" s="86">
        <f>SUM(D93:D102)</f>
        <v>550.66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765</v>
      </c>
      <c r="C104" s="86">
        <f>C63+C81+C91+C103</f>
        <v>6347014.9300000006</v>
      </c>
      <c r="D104" s="86">
        <f>D63+D81+D91+D103</f>
        <v>139623.89000000001</v>
      </c>
      <c r="E104" s="86">
        <f>E63+E81+E91+E103</f>
        <v>130444.82999999999</v>
      </c>
      <c r="F104" s="86">
        <f>F63+F81+F91+F103</f>
        <v>0</v>
      </c>
      <c r="G104" s="86">
        <f>G63+G81+G103</f>
        <v>25077.22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1927951.1900000004</v>
      </c>
      <c r="D109" s="24" t="s">
        <v>289</v>
      </c>
      <c r="E109" s="95">
        <f>('DOE25'!L276)+('DOE25'!L295)+('DOE25'!L314)</f>
        <v>19662.91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1058051.7</v>
      </c>
      <c r="D110" s="24" t="s">
        <v>289</v>
      </c>
      <c r="E110" s="95">
        <f>('DOE25'!L277)+('DOE25'!L296)+('DOE25'!L315)</f>
        <v>84031.99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200253.64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160736.91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3346993.4400000009</v>
      </c>
      <c r="D115" s="86">
        <f>SUM(D109:D114)</f>
        <v>0</v>
      </c>
      <c r="E115" s="86">
        <f>SUM(E109:E114)</f>
        <v>103694.90000000001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270441.72000000003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216837.47999999998</v>
      </c>
      <c r="D119" s="24" t="s">
        <v>289</v>
      </c>
      <c r="E119" s="95">
        <f>+('DOE25'!L282)+('DOE25'!L301)+('DOE25'!L320)</f>
        <v>22660.09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315552.28000000003</v>
      </c>
      <c r="D120" s="24" t="s">
        <v>289</v>
      </c>
      <c r="E120" s="95">
        <f>+('DOE25'!L283)+('DOE25'!L302)+('DOE25'!L321)</f>
        <v>4089.84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368792.27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580660.79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104876.20999999999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141782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1857160.75</v>
      </c>
      <c r="D128" s="86">
        <f>SUM(D118:D127)</f>
        <v>141782</v>
      </c>
      <c r="E128" s="86">
        <f>SUM(E118:E127)</f>
        <v>26749.93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398481.26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550.66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25077.22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-77.220000000001164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22236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1096267.92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6300422.1100000013</v>
      </c>
      <c r="D145" s="86">
        <f>(D115+D128+D144)</f>
        <v>141782</v>
      </c>
      <c r="E145" s="86">
        <f>(E115+E128+E144)</f>
        <v>130444.83000000002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01/07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01/27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12948800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4.04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9050000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9050000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650000</v>
      </c>
    </row>
    <row r="159" spans="1:9" x14ac:dyDescent="0.2">
      <c r="A159" s="22" t="s">
        <v>35</v>
      </c>
      <c r="B159" s="137">
        <f>'DOE25'!F498</f>
        <v>8400000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8400000</v>
      </c>
    </row>
    <row r="160" spans="1:9" x14ac:dyDescent="0.2">
      <c r="A160" s="22" t="s">
        <v>36</v>
      </c>
      <c r="B160" s="137">
        <f>'DOE25'!F499</f>
        <v>2454112.6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2454112.6</v>
      </c>
    </row>
    <row r="161" spans="1:7" x14ac:dyDescent="0.2">
      <c r="A161" s="22" t="s">
        <v>37</v>
      </c>
      <c r="B161" s="137">
        <f>'DOE25'!F500</f>
        <v>10854112.6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10854112.6</v>
      </c>
    </row>
    <row r="162" spans="1:7" x14ac:dyDescent="0.2">
      <c r="A162" s="22" t="s">
        <v>38</v>
      </c>
      <c r="B162" s="137">
        <f>'DOE25'!F501</f>
        <v>650000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650000</v>
      </c>
    </row>
    <row r="163" spans="1:7" x14ac:dyDescent="0.2">
      <c r="A163" s="22" t="s">
        <v>39</v>
      </c>
      <c r="B163" s="137">
        <f>'DOE25'!F502</f>
        <v>365981.26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365981.26</v>
      </c>
    </row>
    <row r="164" spans="1:7" x14ac:dyDescent="0.2">
      <c r="A164" s="22" t="s">
        <v>246</v>
      </c>
      <c r="B164" s="137">
        <f>'DOE25'!F503</f>
        <v>1015981.26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1015981.26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PROFILE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19392</v>
      </c>
    </row>
    <row r="6" spans="1:4" x14ac:dyDescent="0.2">
      <c r="B6" t="s">
        <v>62</v>
      </c>
      <c r="C6" s="179">
        <f>IF('DOE25'!H665+'DOE25'!H670=0,0,ROUND('DOE25'!H672,0))</f>
        <v>18922</v>
      </c>
    </row>
    <row r="7" spans="1:4" x14ac:dyDescent="0.2">
      <c r="B7" t="s">
        <v>705</v>
      </c>
      <c r="C7" s="179">
        <f>IF('DOE25'!I665+'DOE25'!I670=0,0,ROUND('DOE25'!I672,0))</f>
        <v>19104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1947614</v>
      </c>
      <c r="D10" s="182">
        <f>ROUND((C10/$C$28)*100,1)</f>
        <v>33.5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1142084</v>
      </c>
      <c r="D11" s="182">
        <f>ROUND((C11/$C$28)*100,1)</f>
        <v>19.7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200254</v>
      </c>
      <c r="D12" s="182">
        <f>ROUND((C12/$C$28)*100,1)</f>
        <v>3.4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160737</v>
      </c>
      <c r="D13" s="182">
        <f>ROUND((C13/$C$28)*100,1)</f>
        <v>2.8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270442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239498</v>
      </c>
      <c r="D16" s="182">
        <f t="shared" si="0"/>
        <v>4.0999999999999996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319642</v>
      </c>
      <c r="D17" s="182">
        <f t="shared" si="0"/>
        <v>5.5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368792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580661</v>
      </c>
      <c r="D20" s="182">
        <f t="shared" si="0"/>
        <v>10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104876</v>
      </c>
      <c r="D21" s="182">
        <f t="shared" si="0"/>
        <v>1.8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398481</v>
      </c>
      <c r="D25" s="182">
        <f t="shared" si="0"/>
        <v>6.9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22236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52456.14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5807773.1399999997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5807773.1399999997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650000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4188024</v>
      </c>
      <c r="D35" s="182">
        <f t="shared" ref="D35:D40" si="1">ROUND((C35/$C$41)*100,1)</f>
        <v>64.2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27101.699999999255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1624640</v>
      </c>
      <c r="D37" s="182">
        <f t="shared" si="1"/>
        <v>24.9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421018</v>
      </c>
      <c r="D38" s="182">
        <f t="shared" si="1"/>
        <v>6.5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257681</v>
      </c>
      <c r="D39" s="182">
        <f t="shared" si="1"/>
        <v>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6518464.6999999993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89" t="str">
        <f>'DOE25'!A2</f>
        <v>PROFILE SCHOOL DISTRICT</v>
      </c>
      <c r="G2" s="290"/>
      <c r="H2" s="290"/>
      <c r="I2" s="29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AP29:AZ29"/>
    <mergeCell ref="C32:M32"/>
    <mergeCell ref="C30:M30"/>
    <mergeCell ref="C31:M31"/>
    <mergeCell ref="P31:Z31"/>
    <mergeCell ref="AC31:AM31"/>
    <mergeCell ref="AP31:AZ31"/>
    <mergeCell ref="P32:Z32"/>
    <mergeCell ref="C39:M39"/>
    <mergeCell ref="C35:M35"/>
    <mergeCell ref="C36:M36"/>
    <mergeCell ref="C38:M38"/>
    <mergeCell ref="AC32:AM32"/>
    <mergeCell ref="AP32:AZ32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A2:E2"/>
    <mergeCell ref="C5:M5"/>
    <mergeCell ref="C6:M6"/>
    <mergeCell ref="C7:M7"/>
    <mergeCell ref="C8:M8"/>
    <mergeCell ref="C13:M13"/>
    <mergeCell ref="C9:M9"/>
    <mergeCell ref="C15:M15"/>
    <mergeCell ref="C16:M16"/>
    <mergeCell ref="C17:M17"/>
    <mergeCell ref="C18:M18"/>
    <mergeCell ref="C19:M19"/>
    <mergeCell ref="C20:M20"/>
    <mergeCell ref="C21:M21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DP29:DZ29"/>
    <mergeCell ref="DC29:DM29"/>
    <mergeCell ref="BC29:BM29"/>
    <mergeCell ref="BP29:BZ29"/>
    <mergeCell ref="CC29:CM29"/>
    <mergeCell ref="CC30:CM30"/>
    <mergeCell ref="HP29:HZ29"/>
    <mergeCell ref="IC29:IM29"/>
    <mergeCell ref="FP29:FZ29"/>
    <mergeCell ref="GC29:GM29"/>
    <mergeCell ref="GP29:GZ29"/>
    <mergeCell ref="HC29:HM29"/>
    <mergeCell ref="IC30:IM30"/>
    <mergeCell ref="HP30:HZ30"/>
    <mergeCell ref="FC30:F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HP31:HZ31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EC30:EM30"/>
    <mergeCell ref="EP30:EZ30"/>
    <mergeCell ref="BC30:BM30"/>
    <mergeCell ref="BP30:BZ30"/>
    <mergeCell ref="DC30:DM30"/>
    <mergeCell ref="BP32:BZ32"/>
    <mergeCell ref="FP30:FZ30"/>
    <mergeCell ref="FC31:FM31"/>
    <mergeCell ref="FP31:FZ31"/>
    <mergeCell ref="GC31:GM31"/>
    <mergeCell ref="GP31:GZ31"/>
    <mergeCell ref="HC31:HM31"/>
    <mergeCell ref="DP30:DZ30"/>
    <mergeCell ref="CC32:CM32"/>
    <mergeCell ref="DC32:DM32"/>
    <mergeCell ref="DP32:DZ32"/>
    <mergeCell ref="HP32:HZ32"/>
    <mergeCell ref="HC39:HM39"/>
    <mergeCell ref="DC39:DM39"/>
    <mergeCell ref="DP39:DZ39"/>
    <mergeCell ref="EC39:EM39"/>
    <mergeCell ref="GC39:GM39"/>
    <mergeCell ref="GC32:GM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EC32:EM32"/>
    <mergeCell ref="EP32:EZ32"/>
    <mergeCell ref="FC32:FM32"/>
    <mergeCell ref="HP39:HZ39"/>
    <mergeCell ref="IP39:IV39"/>
    <mergeCell ref="EP39:EZ39"/>
    <mergeCell ref="FC39:FM39"/>
    <mergeCell ref="FP39:FZ39"/>
    <mergeCell ref="GP39:GZ39"/>
    <mergeCell ref="HP38:HZ38"/>
    <mergeCell ref="IC38:IM38"/>
    <mergeCell ref="IP38:IV38"/>
    <mergeCell ref="IC39:IM39"/>
    <mergeCell ref="P38:Z38"/>
    <mergeCell ref="AC38:AM38"/>
    <mergeCell ref="AP38:AZ38"/>
    <mergeCell ref="BP39:BZ39"/>
    <mergeCell ref="CC39:CM39"/>
    <mergeCell ref="CP39:CZ39"/>
    <mergeCell ref="BP38:BZ38"/>
    <mergeCell ref="CC38:CM38"/>
    <mergeCell ref="CP38:CZ38"/>
    <mergeCell ref="BC38:BM38"/>
    <mergeCell ref="P39:Z39"/>
    <mergeCell ref="AC39:AM39"/>
    <mergeCell ref="AP39:AZ39"/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DC40:DM40"/>
    <mergeCell ref="EP40:EZ40"/>
    <mergeCell ref="C40:M40"/>
    <mergeCell ref="P40:Z40"/>
    <mergeCell ref="AC40:A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2014-10-10T12:06:43Z</cp:lastPrinted>
  <dcterms:created xsi:type="dcterms:W3CDTF">1997-12-04T19:04:30Z</dcterms:created>
  <dcterms:modified xsi:type="dcterms:W3CDTF">2014-12-05T17:29:30Z</dcterms:modified>
</cp:coreProperties>
</file>