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2" i="1" l="1"/>
  <c r="I592" i="1"/>
  <c r="H592" i="1"/>
  <c r="H543" i="1"/>
  <c r="H542" i="1"/>
  <c r="H541" i="1"/>
  <c r="H244" i="1"/>
  <c r="H226" i="1"/>
  <c r="H208" i="1"/>
  <c r="F24" i="1"/>
  <c r="G527" i="1" l="1"/>
  <c r="K528" i="1"/>
  <c r="K527" i="1"/>
  <c r="K526" i="1"/>
  <c r="G528" i="1"/>
  <c r="F528" i="1"/>
  <c r="F527" i="1"/>
  <c r="G526" i="1"/>
  <c r="F526" i="1"/>
  <c r="J528" i="1"/>
  <c r="J527" i="1"/>
  <c r="J526" i="1"/>
  <c r="I528" i="1"/>
  <c r="H528" i="1"/>
  <c r="I527" i="1"/>
  <c r="H527" i="1"/>
  <c r="I526" i="1"/>
  <c r="H526" i="1"/>
  <c r="K533" i="1"/>
  <c r="H533" i="1"/>
  <c r="G533" i="1"/>
  <c r="F533" i="1"/>
  <c r="K532" i="1"/>
  <c r="H532" i="1"/>
  <c r="G532" i="1"/>
  <c r="F532" i="1"/>
  <c r="K531" i="1"/>
  <c r="H531" i="1"/>
  <c r="G531" i="1"/>
  <c r="F531" i="1"/>
  <c r="I564" i="1"/>
  <c r="G564" i="1"/>
  <c r="F564" i="1"/>
  <c r="I563" i="1"/>
  <c r="G563" i="1"/>
  <c r="F563" i="1"/>
  <c r="I562" i="1"/>
  <c r="G562" i="1"/>
  <c r="F562" i="1"/>
  <c r="K523" i="1"/>
  <c r="I523" i="1"/>
  <c r="H523" i="1"/>
  <c r="G523" i="1"/>
  <c r="F523" i="1"/>
  <c r="K522" i="1"/>
  <c r="I522" i="1"/>
  <c r="H522" i="1"/>
  <c r="G522" i="1"/>
  <c r="F522" i="1"/>
  <c r="K521" i="1"/>
  <c r="I521" i="1"/>
  <c r="H521" i="1"/>
  <c r="G521" i="1"/>
  <c r="F521" i="1"/>
  <c r="J523" i="1"/>
  <c r="J522" i="1"/>
  <c r="J521" i="1"/>
  <c r="J604" i="1"/>
  <c r="I604" i="1"/>
  <c r="H604" i="1"/>
  <c r="J591" i="1"/>
  <c r="H155" i="1"/>
  <c r="H110" i="1"/>
  <c r="H159" i="1"/>
  <c r="H154" i="1"/>
  <c r="K359" i="1"/>
  <c r="F9" i="1"/>
  <c r="K344" i="1"/>
  <c r="H306" i="1"/>
  <c r="H287" i="1"/>
  <c r="H320" i="1"/>
  <c r="G320" i="1"/>
  <c r="F320" i="1"/>
  <c r="I301" i="1"/>
  <c r="H301" i="1"/>
  <c r="G301" i="1"/>
  <c r="F301" i="1"/>
  <c r="I282" i="1"/>
  <c r="H282" i="1"/>
  <c r="G282" i="1"/>
  <c r="F282" i="1"/>
  <c r="I298" i="1"/>
  <c r="H298" i="1"/>
  <c r="G298" i="1"/>
  <c r="F298" i="1"/>
  <c r="I279" i="1"/>
  <c r="H279" i="1"/>
  <c r="G279" i="1"/>
  <c r="F279" i="1"/>
  <c r="I315" i="1"/>
  <c r="G315" i="1"/>
  <c r="F315" i="1"/>
  <c r="I296" i="1"/>
  <c r="G296" i="1"/>
  <c r="F296" i="1"/>
  <c r="I277" i="1"/>
  <c r="G277" i="1"/>
  <c r="F277" i="1"/>
  <c r="J315" i="1"/>
  <c r="J296" i="1"/>
  <c r="J277" i="1"/>
  <c r="H276" i="1"/>
  <c r="K360" i="1" l="1"/>
  <c r="J360" i="1"/>
  <c r="I360" i="1"/>
  <c r="H360" i="1"/>
  <c r="G360" i="1"/>
  <c r="F360" i="1"/>
  <c r="J359" i="1"/>
  <c r="I359" i="1"/>
  <c r="H359" i="1"/>
  <c r="G359" i="1"/>
  <c r="F359" i="1"/>
  <c r="K358" i="1"/>
  <c r="J358" i="1"/>
  <c r="I358" i="1"/>
  <c r="H358" i="1"/>
  <c r="G358" i="1"/>
  <c r="F358" i="1"/>
  <c r="I253" i="1"/>
  <c r="H209" i="1"/>
  <c r="H227" i="1"/>
  <c r="H245" i="1"/>
  <c r="J243" i="1"/>
  <c r="I243" i="1"/>
  <c r="H243" i="1"/>
  <c r="G243" i="1"/>
  <c r="F243" i="1"/>
  <c r="J225" i="1"/>
  <c r="I225" i="1"/>
  <c r="H225" i="1"/>
  <c r="G225" i="1"/>
  <c r="F225" i="1"/>
  <c r="J207" i="1"/>
  <c r="I207" i="1"/>
  <c r="H207" i="1"/>
  <c r="G207" i="1"/>
  <c r="F207" i="1"/>
  <c r="F239" i="1"/>
  <c r="J239" i="1"/>
  <c r="I239" i="1"/>
  <c r="H239" i="1"/>
  <c r="G239" i="1"/>
  <c r="J221" i="1"/>
  <c r="I221" i="1"/>
  <c r="H221" i="1"/>
  <c r="G221" i="1"/>
  <c r="F221" i="1"/>
  <c r="J203" i="1"/>
  <c r="I203" i="1"/>
  <c r="H203" i="1"/>
  <c r="G203" i="1"/>
  <c r="F203" i="1"/>
  <c r="I238" i="1"/>
  <c r="G238" i="1"/>
  <c r="F238" i="1"/>
  <c r="I220" i="1"/>
  <c r="G220" i="1"/>
  <c r="F220" i="1"/>
  <c r="I202" i="1"/>
  <c r="G202" i="1"/>
  <c r="F202" i="1"/>
  <c r="K216" i="1"/>
  <c r="K234" i="1"/>
  <c r="I234" i="1"/>
  <c r="H234" i="1"/>
  <c r="G234" i="1"/>
  <c r="F234" i="1"/>
  <c r="I216" i="1"/>
  <c r="H216" i="1"/>
  <c r="G216" i="1"/>
  <c r="F216" i="1"/>
  <c r="K198" i="1"/>
  <c r="I198" i="1"/>
  <c r="H198" i="1"/>
  <c r="G198" i="1"/>
  <c r="F198" i="1"/>
  <c r="H233" i="1"/>
  <c r="G233" i="1"/>
  <c r="F233" i="1"/>
  <c r="H215" i="1"/>
  <c r="G215" i="1"/>
  <c r="F215" i="1"/>
  <c r="H197" i="1"/>
  <c r="G197" i="1"/>
  <c r="F197" i="1"/>
  <c r="G97" i="1" l="1"/>
  <c r="F28" i="1"/>
  <c r="F29" i="1"/>
  <c r="F12" i="1"/>
  <c r="I320" i="1"/>
  <c r="I314" i="1"/>
  <c r="H314" i="1"/>
  <c r="J301" i="1"/>
  <c r="G295" i="1"/>
  <c r="F295" i="1"/>
  <c r="J282" i="1"/>
  <c r="G281" i="1"/>
  <c r="F281" i="1"/>
  <c r="G276" i="1"/>
  <c r="F276" i="1"/>
  <c r="K241" i="1"/>
  <c r="I241" i="1"/>
  <c r="H241" i="1"/>
  <c r="G241" i="1"/>
  <c r="F241" i="1"/>
  <c r="H238" i="1"/>
  <c r="K236" i="1"/>
  <c r="J236" i="1"/>
  <c r="I236" i="1"/>
  <c r="H236" i="1"/>
  <c r="G236" i="1"/>
  <c r="F236" i="1"/>
  <c r="H235" i="1"/>
  <c r="J234" i="1"/>
  <c r="K233" i="1"/>
  <c r="J233" i="1"/>
  <c r="I233" i="1"/>
  <c r="K223" i="1"/>
  <c r="I223" i="1"/>
  <c r="H223" i="1"/>
  <c r="G223" i="1"/>
  <c r="F223" i="1"/>
  <c r="I218" i="1"/>
  <c r="H218" i="1"/>
  <c r="G218" i="1"/>
  <c r="F218" i="1"/>
  <c r="J216" i="1"/>
  <c r="J215" i="1"/>
  <c r="I215" i="1"/>
  <c r="K205" i="1" l="1"/>
  <c r="I205" i="1"/>
  <c r="H205" i="1"/>
  <c r="G205" i="1"/>
  <c r="F205" i="1"/>
  <c r="H202" i="1"/>
  <c r="G200" i="1"/>
  <c r="F200" i="1"/>
  <c r="J198" i="1"/>
  <c r="K197" i="1"/>
  <c r="J197" i="1"/>
  <c r="I197" i="1"/>
  <c r="H400" i="1" l="1"/>
  <c r="H459" i="1" l="1"/>
  <c r="G459" i="1"/>
  <c r="H439" i="1"/>
  <c r="G439" i="1"/>
  <c r="J468" i="1"/>
  <c r="F501" i="1" l="1"/>
  <c r="F497" i="1"/>
  <c r="F498" i="1"/>
  <c r="G4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E13" i="13" s="1"/>
  <c r="C13" i="13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E124" i="2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51" i="1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C78" i="2" s="1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C114" i="2"/>
  <c r="E114" i="2"/>
  <c r="D115" i="2"/>
  <c r="F115" i="2"/>
  <c r="G115" i="2"/>
  <c r="E118" i="2"/>
  <c r="E120" i="2"/>
  <c r="E121" i="2"/>
  <c r="E122" i="2"/>
  <c r="E123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I452" i="1"/>
  <c r="F460" i="1"/>
  <c r="G460" i="1"/>
  <c r="H460" i="1"/>
  <c r="H461" i="1" s="1"/>
  <c r="H641" i="1" s="1"/>
  <c r="F461" i="1"/>
  <c r="G461" i="1"/>
  <c r="H640" i="1" s="1"/>
  <c r="F470" i="1"/>
  <c r="G470" i="1"/>
  <c r="H470" i="1"/>
  <c r="I470" i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3" i="1"/>
  <c r="H643" i="1"/>
  <c r="G644" i="1"/>
  <c r="G652" i="1"/>
  <c r="H652" i="1"/>
  <c r="G653" i="1"/>
  <c r="H653" i="1"/>
  <c r="G654" i="1"/>
  <c r="H654" i="1"/>
  <c r="H655" i="1"/>
  <c r="F192" i="1"/>
  <c r="L256" i="1"/>
  <c r="C18" i="2"/>
  <c r="C26" i="10"/>
  <c r="A31" i="12"/>
  <c r="C70" i="2"/>
  <c r="D18" i="13"/>
  <c r="C18" i="13" s="1"/>
  <c r="D18" i="2"/>
  <c r="D17" i="13"/>
  <c r="C17" i="13" s="1"/>
  <c r="F78" i="2"/>
  <c r="F81" i="2" s="1"/>
  <c r="D31" i="2"/>
  <c r="D50" i="2"/>
  <c r="F18" i="2"/>
  <c r="G156" i="2"/>
  <c r="E103" i="2"/>
  <c r="D91" i="2"/>
  <c r="G62" i="2"/>
  <c r="D19" i="13"/>
  <c r="C19" i="13" s="1"/>
  <c r="E78" i="2"/>
  <c r="E81" i="2" s="1"/>
  <c r="H112" i="1"/>
  <c r="J639" i="1"/>
  <c r="J571" i="1"/>
  <c r="K571" i="1"/>
  <c r="L433" i="1"/>
  <c r="L419" i="1"/>
  <c r="I169" i="1"/>
  <c r="J643" i="1"/>
  <c r="I476" i="1"/>
  <c r="H625" i="1" s="1"/>
  <c r="J625" i="1" s="1"/>
  <c r="F169" i="1"/>
  <c r="J140" i="1"/>
  <c r="F571" i="1"/>
  <c r="G22" i="2"/>
  <c r="C29" i="10"/>
  <c r="H140" i="1"/>
  <c r="L393" i="1"/>
  <c r="A13" i="12"/>
  <c r="F22" i="13"/>
  <c r="H571" i="1"/>
  <c r="L560" i="1"/>
  <c r="H192" i="1"/>
  <c r="F552" i="1"/>
  <c r="C35" i="10"/>
  <c r="E16" i="13"/>
  <c r="C16" i="13" s="1"/>
  <c r="J655" i="1"/>
  <c r="L570" i="1"/>
  <c r="J636" i="1"/>
  <c r="G36" i="2"/>
  <c r="C22" i="13"/>
  <c r="C138" i="2"/>
  <c r="G650" i="1" l="1"/>
  <c r="J650" i="1" s="1"/>
  <c r="K551" i="1"/>
  <c r="I545" i="1"/>
  <c r="L529" i="1"/>
  <c r="K549" i="1"/>
  <c r="L534" i="1"/>
  <c r="H552" i="1"/>
  <c r="L524" i="1"/>
  <c r="H545" i="1"/>
  <c r="I552" i="1"/>
  <c r="L539" i="1"/>
  <c r="J552" i="1"/>
  <c r="K550" i="1"/>
  <c r="L544" i="1"/>
  <c r="K598" i="1"/>
  <c r="G647" i="1" s="1"/>
  <c r="H476" i="1"/>
  <c r="H624" i="1" s="1"/>
  <c r="J624" i="1" s="1"/>
  <c r="C21" i="10"/>
  <c r="G338" i="1"/>
  <c r="G352" i="1" s="1"/>
  <c r="F338" i="1"/>
  <c r="F352" i="1" s="1"/>
  <c r="L309" i="1"/>
  <c r="J338" i="1"/>
  <c r="J352" i="1" s="1"/>
  <c r="H338" i="1"/>
  <c r="H352" i="1" s="1"/>
  <c r="A40" i="12"/>
  <c r="L614" i="1"/>
  <c r="J634" i="1"/>
  <c r="L362" i="1"/>
  <c r="C27" i="10" s="1"/>
  <c r="G661" i="1"/>
  <c r="D127" i="2"/>
  <c r="D128" i="2" s="1"/>
  <c r="D145" i="2" s="1"/>
  <c r="D29" i="13"/>
  <c r="C29" i="13" s="1"/>
  <c r="F661" i="1"/>
  <c r="H661" i="1"/>
  <c r="C125" i="2"/>
  <c r="G651" i="1"/>
  <c r="J651" i="1" s="1"/>
  <c r="H647" i="1"/>
  <c r="C19" i="10"/>
  <c r="C122" i="2"/>
  <c r="C17" i="10"/>
  <c r="E8" i="13"/>
  <c r="C8" i="13" s="1"/>
  <c r="C120" i="2"/>
  <c r="C119" i="2"/>
  <c r="K257" i="1"/>
  <c r="K271" i="1" s="1"/>
  <c r="F476" i="1"/>
  <c r="H622" i="1" s="1"/>
  <c r="J622" i="1" s="1"/>
  <c r="G645" i="1"/>
  <c r="J645" i="1" s="1"/>
  <c r="C62" i="2"/>
  <c r="C63" i="2" s="1"/>
  <c r="F112" i="1"/>
  <c r="J617" i="1"/>
  <c r="L328" i="1"/>
  <c r="E110" i="2"/>
  <c r="E109" i="2"/>
  <c r="E119" i="2"/>
  <c r="E128" i="2" s="1"/>
  <c r="E112" i="2"/>
  <c r="L290" i="1"/>
  <c r="C20" i="10"/>
  <c r="C121" i="2"/>
  <c r="C13" i="10"/>
  <c r="C111" i="2"/>
  <c r="L247" i="1"/>
  <c r="C109" i="2"/>
  <c r="C123" i="2"/>
  <c r="D12" i="13"/>
  <c r="C12" i="13" s="1"/>
  <c r="G257" i="1"/>
  <c r="G271" i="1" s="1"/>
  <c r="C18" i="10"/>
  <c r="F257" i="1"/>
  <c r="F271" i="1" s="1"/>
  <c r="C16" i="10"/>
  <c r="D6" i="13"/>
  <c r="C6" i="13" s="1"/>
  <c r="L229" i="1"/>
  <c r="C112" i="2"/>
  <c r="I257" i="1"/>
  <c r="I271" i="1" s="1"/>
  <c r="J257" i="1"/>
  <c r="J271" i="1" s="1"/>
  <c r="H257" i="1"/>
  <c r="H271" i="1" s="1"/>
  <c r="C124" i="2"/>
  <c r="F662" i="1"/>
  <c r="I662" i="1" s="1"/>
  <c r="D15" i="13"/>
  <c r="C15" i="13" s="1"/>
  <c r="G649" i="1"/>
  <c r="J649" i="1" s="1"/>
  <c r="D14" i="13"/>
  <c r="C14" i="13" s="1"/>
  <c r="D7" i="13"/>
  <c r="C7" i="13" s="1"/>
  <c r="L211" i="1"/>
  <c r="C15" i="10"/>
  <c r="C118" i="2"/>
  <c r="D5" i="13"/>
  <c r="C5" i="13" s="1"/>
  <c r="C11" i="10"/>
  <c r="C110" i="2"/>
  <c r="C10" i="10"/>
  <c r="L427" i="1"/>
  <c r="L434" i="1" s="1"/>
  <c r="G638" i="1" s="1"/>
  <c r="J638" i="1" s="1"/>
  <c r="L401" i="1"/>
  <c r="C139" i="2" s="1"/>
  <c r="C132" i="2"/>
  <c r="C32" i="10"/>
  <c r="H25" i="13"/>
  <c r="J641" i="1"/>
  <c r="I460" i="1"/>
  <c r="I461" i="1" s="1"/>
  <c r="H642" i="1" s="1"/>
  <c r="J640" i="1"/>
  <c r="I446" i="1"/>
  <c r="G642" i="1" s="1"/>
  <c r="J642" i="1" s="1"/>
  <c r="J476" i="1"/>
  <c r="H626" i="1" s="1"/>
  <c r="C81" i="2"/>
  <c r="K500" i="1"/>
  <c r="G157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G635" i="1"/>
  <c r="J635" i="1" s="1"/>
  <c r="K552" i="1" l="1"/>
  <c r="L545" i="1"/>
  <c r="J647" i="1"/>
  <c r="G660" i="1"/>
  <c r="G664" i="1" s="1"/>
  <c r="G667" i="1" s="1"/>
  <c r="I661" i="1"/>
  <c r="E33" i="13"/>
  <c r="D35" i="13" s="1"/>
  <c r="C104" i="2"/>
  <c r="L338" i="1"/>
  <c r="L352" i="1" s="1"/>
  <c r="G633" i="1" s="1"/>
  <c r="J633" i="1" s="1"/>
  <c r="H660" i="1"/>
  <c r="H664" i="1" s="1"/>
  <c r="H667" i="1" s="1"/>
  <c r="E115" i="2"/>
  <c r="E145" i="2" s="1"/>
  <c r="D31" i="13"/>
  <c r="C31" i="13" s="1"/>
  <c r="C115" i="2"/>
  <c r="C128" i="2"/>
  <c r="L257" i="1"/>
  <c r="L271" i="1" s="1"/>
  <c r="G632" i="1" s="1"/>
  <c r="J632" i="1" s="1"/>
  <c r="H648" i="1"/>
  <c r="J648" i="1" s="1"/>
  <c r="F660" i="1"/>
  <c r="F664" i="1" s="1"/>
  <c r="F672" i="1" s="1"/>
  <c r="C4" i="10" s="1"/>
  <c r="C28" i="10"/>
  <c r="D24" i="10" s="1"/>
  <c r="L408" i="1"/>
  <c r="G637" i="1" s="1"/>
  <c r="J637" i="1" s="1"/>
  <c r="C141" i="2"/>
  <c r="C144" i="2" s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H672" i="1"/>
  <c r="C6" i="10" s="1"/>
  <c r="D33" i="13"/>
  <c r="D36" i="13" s="1"/>
  <c r="C145" i="2"/>
  <c r="F667" i="1"/>
  <c r="I660" i="1"/>
  <c r="I664" i="1" s="1"/>
  <c r="I672" i="1" s="1"/>
  <c r="C7" i="10" s="1"/>
  <c r="D12" i="10"/>
  <c r="D16" i="10"/>
  <c r="D10" i="10"/>
  <c r="D20" i="10"/>
  <c r="D13" i="10"/>
  <c r="D21" i="10"/>
  <c r="D18" i="10"/>
  <c r="D19" i="10"/>
  <c r="C30" i="10"/>
  <c r="D26" i="10"/>
  <c r="D23" i="10"/>
  <c r="D15" i="10"/>
  <c r="D25" i="10"/>
  <c r="D11" i="10"/>
  <c r="D22" i="10"/>
  <c r="D27" i="10"/>
  <c r="D17" i="10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<sst xmlns="http://schemas.openxmlformats.org/spreadsheetml/2006/main" count="3972" uniqueCount="925">
  <si>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</si>
  <si>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</si>
  <si>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</si>
  <si>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</si>
  <si>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</si>
  <si>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</si>
  <si>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</si>
  <si>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</si>
  <si>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</si>
  <si>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</si>
  <si>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</si>
  <si>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</si>
  <si>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</si>
  <si>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</si>
  <si>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</si>
  <si>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</si>
  <si>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</si>
  <si>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</si>
  <si>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</si>
  <si>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</si>
  <si>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</si>
  <si>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</si>
  <si>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</si>
  <si>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</si>
  <si>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</si>
  <si>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</si>
  <si>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</si>
  <si>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</si>
  <si>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</si>
  <si>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</si>
  <si>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</si>
  <si>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</si>
  <si>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</si>
  <si>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</si>
  <si>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</si>
  <si>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</si>
  <si>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</si>
  <si>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</si>
  <si>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</si>
  <si>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</si>
  <si>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</si>
  <si>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</si>
  <si>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</si>
  <si>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</si>
  <si>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</si>
  <si>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</si>
  <si>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</si>
  <si>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</si>
  <si>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</si>
  <si>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</si>
  <si>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</si>
  <si>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</si>
  <si>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</si>
  <si>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</si>
  <si>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</si>
  <si>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</si>
  <si>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</si>
  <si>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</si>
  <si>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</si>
  <si>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</si>
  <si>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</si>
  <si>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</si>
  <si>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</si>
  <si>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</si>
  <si>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</si>
  <si>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</si>
  <si>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</si>
  <si>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</si>
  <si>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</si>
  <si>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</si>
  <si>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</si>
  <si>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</si>
  <si>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</si>
  <si>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</si>
  <si>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</si>
  <si>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</si>
  <si>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</si>
  <si>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</si>
  <si>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</si>
  <si>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</si>
  <si>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</si>
  <si>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</si>
  <si>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</si>
  <si>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</si>
  <si>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</si>
  <si>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</si>
  <si>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</si>
  <si>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</si>
  <si>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</si>
  <si>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</si>
  <si>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</si>
  <si>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</si>
  <si>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</si>
  <si>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</si>
  <si>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</si>
  <si>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</si>
  <si>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</si>
  <si>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</si>
  <si>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</si>
  <si>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</si>
  <si>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</si>
  <si>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</si>
  <si>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</si>
  <si>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</si>
  <si>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</si>
  <si>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</si>
  <si>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</si>
  <si>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</si>
  <si>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</si>
  <si>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</si>
  <si>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</si>
  <si>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</si>
  <si>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</si>
  <si>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</si>
  <si>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</si>
  <si>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</si>
  <si>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</si>
  <si>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</si>
  <si>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</si>
  <si>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</si>
  <si>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</si>
  <si>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</si>
  <si>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</si>
  <si>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</si>
  <si>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</si>
  <si>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</si>
  <si>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</si>
  <si>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</si>
  <si>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</si>
  <si>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</si>
  <si>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</si>
  <si>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</si>
  <si>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</si>
  <si>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</si>
  <si>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</si>
  <si>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</si>
  <si>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</si>
  <si>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</si>
  <si>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</si>
  <si>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</si>
  <si>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</si>
  <si>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</si>
  <si>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</si>
  <si>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</si>
  <si>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</si>
  <si>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</si>
  <si>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</si>
  <si>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</si>
  <si>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</si>
  <si>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</si>
  <si>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</si>
  <si>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</si>
  <si>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</si>
  <si>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</si>
  <si>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</si>
  <si>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</si>
  <si>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</si>
  <si>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</si>
  <si>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</si>
  <si>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</si>
  <si>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</si>
  <si>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</si>
  <si>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</si>
  <si>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</si>
  <si>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</si>
  <si>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</si>
  <si>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</si>
  <si>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</si>
  <si>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</si>
  <si>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</si>
  <si>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</si>
  <si>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</si>
  <si>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</si>
  <si>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</si>
  <si>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</si>
  <si>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</si>
  <si>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</si>
  <si>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</si>
  <si>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</si>
  <si>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</si>
  <si>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</si>
  <si>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</si>
  <si>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</si>
  <si>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</si>
  <si>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</si>
  <si>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</si>
  <si>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</si>
  <si>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</si>
  <si>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</si>
  <si>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</si>
  <si>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</si>
  <si>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</si>
  <si>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</si>
  <si>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</si>
  <si>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</si>
  <si>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</si>
  <si>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</si>
  <si>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</si>
  <si>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</si>
  <si>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</si>
  <si>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</si>
  <si>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</si>
  <si>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</si>
  <si>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</si>
  <si>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</si>
  <si>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</si>
  <si>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</si>
  <si>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</si>
  <si>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</si>
  <si>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</si>
  <si>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</si>
  <si>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</si>
  <si>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</si>
  <si>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</si>
  <si>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</si>
  <si>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</si>
  <si>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</si>
  <si>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</si>
  <si>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</si>
  <si>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</si>
  <si>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</si>
  <si>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</si>
  <si>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</si>
  <si>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</si>
  <si>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</si>
  <si>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</si>
  <si>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</si>
  <si>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</si>
  <si>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</si>
  <si>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</si>
  <si>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</si>
  <si>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</si>
  <si>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</si>
  <si>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</si>
  <si>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</si>
  <si>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</si>
  <si>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</si>
  <si>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</si>
  <si>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</si>
  <si>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</si>
  <si>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</si>
  <si>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</si>
  <si>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</si>
  <si>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</si>
  <si>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</si>
  <si>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</si>
  <si>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</si>
  <si>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</si>
  <si>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</si>
  <si>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</si>
  <si>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</si>
  <si>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</si>
  <si>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</si>
  <si>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</si>
  <si>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</si>
  <si>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</si>
  <si>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</si>
  <si>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</si>
  <si>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</si>
  <si>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</si>
  <si>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</si>
  <si>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</si>
  <si>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</si>
  <si>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</si>
  <si>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</si>
  <si>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</si>
  <si>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</si>
  <si>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</si>
  <si>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</si>
  <si>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</si>
  <si>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</si>
  <si>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</si>
  <si>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</si>
  <si>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</si>
  <si>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</si>
  <si>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</si>
  <si>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</si>
  <si>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</si>
  <si>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</si>
  <si>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</si>
  <si>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</si>
  <si>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</si>
  <si>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</si>
  <si>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</si>
  <si>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</si>
  <si>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</si>
  <si>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</si>
  <si>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</si>
  <si>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</si>
  <si>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</si>
  <si>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</si>
  <si>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</si>
  <si>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</si>
  <si>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</si>
  <si>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</si>
  <si>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</si>
  <si>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</si>
  <si>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</si>
  <si>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</si>
  <si>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</si>
  <si>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</si>
  <si>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</si>
  <si>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</si>
  <si>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</si>
  <si>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</si>
  <si>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</si>
  <si>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</si>
  <si>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</si>
  <si>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</si>
  <si>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</si>
  <si>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</si>
  <si>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</si>
  <si>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</si>
  <si>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</si>
  <si>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</si>
  <si>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</si>
  <si>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</si>
  <si>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</si>
  <si>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</si>
  <si>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</si>
  <si>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</si>
  <si>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</si>
  <si>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</si>
  <si>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</si>
  <si>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</si>
  <si>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</si>
  <si>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</si>
  <si>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</si>
  <si>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</si>
  <si>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</si>
  <si>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</si>
  <si>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</si>
  <si>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</si>
  <si>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</si>
  <si>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</si>
  <si>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</si>
  <si>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</si>
  <si>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</si>
  <si>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</si>
  <si>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</si>
  <si>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</si>
  <si>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</si>
  <si>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</si>
  <si>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</si>
  <si>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</si>
  <si>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</si>
  <si>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</si>
  <si>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</si>
  <si>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</si>
  <si>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</si>
  <si>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</si>
  <si>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</si>
  <si>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</si>
  <si>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</si>
  <si>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</si>
  <si>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</si>
  <si>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</si>
  <si>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</si>
  <si>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</si>
  <si>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</si>
  <si>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</si>
  <si>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</si>
  <si>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</si>
  <si>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</si>
  <si>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</si>
  <si>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</si>
  <si>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</si>
  <si>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</si>
  <si>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</si>
  <si>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</si>
  <si>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</si>
  <si>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</si>
  <si>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</si>
  <si>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</si>
  <si>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</si>
  <si>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</si>
  <si>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</si>
  <si>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</si>
  <si>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</si>
  <si>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</si>
  <si>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</si>
  <si>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</si>
  <si>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</si>
  <si>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</si>
  <si>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</si>
  <si>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</si>
  <si>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</si>
  <si>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</si>
  <si>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</si>
  <si>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</si>
  <si>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</si>
  <si>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</si>
  <si>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</si>
  <si>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</si>
  <si>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</si>
  <si>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</si>
  <si>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</si>
  <si>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</si>
  <si>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</si>
  <si>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</si>
  <si>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</si>
  <si>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</si>
  <si>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</si>
  <si>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</si>
  <si>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</si>
  <si>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</si>
  <si>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</si>
  <si>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</si>
  <si>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</si>
  <si>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</si>
  <si>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</si>
  <si>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</si>
  <si>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</si>
  <si>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</si>
  <si>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</si>
  <si>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</si>
  <si>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</si>
  <si>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</si>
  <si>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</si>
  <si>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</si>
  <si>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</si>
  <si>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</si>
  <si>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</si>
  <si>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</si>
  <si>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</si>
  <si>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</si>
  <si>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</si>
  <si>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</si>
  <si>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</si>
  <si>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</si>
  <si>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</si>
  <si>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</si>
  <si>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</si>
  <si>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</si>
  <si>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</si>
  <si>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</si>
  <si>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</si>
  <si>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</si>
  <si>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</si>
  <si>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</si>
  <si>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</si>
  <si>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</si>
  <si>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</si>
  <si>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</si>
  <si>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</si>
  <si>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</si>
  <si>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</si>
  <si>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</si>
  <si>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</si>
  <si>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</si>
  <si>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</si>
  <si>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</si>
  <si>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</si>
  <si>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</si>
  <si>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</si>
  <si>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</si>
  <si>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</si>
  <si>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</si>
  <si>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</si>
  <si>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</si>
  <si>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</si>
  <si>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</si>
  <si>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</si>
  <si>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</si>
  <si>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</si>
  <si>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</si>
  <si>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</si>
  <si>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</si>
  <si>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</si>
  <si>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</si>
  <si>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</si>
  <si>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</si>
  <si>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</si>
  <si>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</si>
  <si>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</si>
  <si>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</si>
  <si>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</si>
  <si>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</si>
  <si>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</si>
  <si>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</si>
  <si>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</si>
  <si>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</si>
  <si>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</si>
  <si>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</si>
  <si>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</si>
  <si>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</si>
  <si>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</si>
  <si>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</si>
  <si>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</si>
  <si>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</si>
  <si>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</si>
  <si>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</si>
  <si>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</si>
  <si>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</si>
  <si>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</si>
  <si>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</si>
  <si>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</si>
  <si>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</si>
  <si>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</si>
  <si>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</si>
  <si>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</si>
  <si>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</si>
  <si>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</si>
  <si>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</si>
  <si>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</si>
  <si>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</si>
  <si>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</si>
  <si>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</si>
  <si>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</si>
  <si>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</si>
  <si>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</si>
  <si>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</si>
  <si>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</si>
  <si>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</si>
  <si>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</si>
  <si>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</si>
  <si>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</si>
  <si>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</si>
  <si>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</si>
  <si>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</si>
  <si>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</si>
  <si>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</si>
  <si>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</si>
  <si>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</si>
  <si>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</si>
  <si>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</si>
  <si>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</si>
  <si>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</si>
  <si>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</si>
  <si>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</si>
  <si>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</si>
  <si>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</si>
  <si>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</si>
  <si>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</si>
  <si>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</si>
  <si>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</si>
  <si>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</si>
  <si>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</si>
  <si>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</si>
  <si>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</si>
  <si>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</si>
  <si>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</si>
  <si>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</si>
  <si>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</si>
  <si>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</si>
  <si>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</si>
  <si>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</si>
  <si>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</si>
  <si>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</si>
  <si>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</si>
  <si>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</si>
  <si>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</si>
  <si>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</si>
  <si>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</si>
  <si>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</si>
  <si>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</si>
  <si>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</si>
  <si>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</si>
  <si>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</si>
  <si>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</si>
  <si>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</si>
  <si>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</si>
  <si>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</si>
  <si>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</si>
  <si>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</si>
  <si>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</si>
  <si>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</si>
  <si>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</si>
  <si>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</si>
  <si>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</si>
  <si>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</si>
  <si>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</si>
  <si>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</si>
  <si>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</si>
  <si>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</si>
  <si>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</si>
  <si>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</si>
  <si>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</si>
  <si>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</si>
  <si>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</si>
  <si>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</si>
  <si>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</si>
  <si>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</si>
  <si>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</si>
  <si>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</si>
  <si>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</si>
  <si>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</si>
  <si>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</si>
  <si>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</si>
  <si>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</si>
  <si>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</si>
  <si>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</si>
  <si>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</si>
  <si>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</si>
  <si>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</si>
  <si>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</si>
  <si>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</si>
  <si>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</si>
  <si>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</si>
  <si>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</si>
  <si>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</si>
  <si>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</si>
  <si>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</si>
  <si>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</si>
  <si>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</si>
  <si>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</si>
  <si>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</si>
  <si>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</si>
  <si>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</si>
  <si>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</si>
  <si>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</si>
  <si>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</si>
  <si>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</si>
  <si>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</si>
  <si>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</si>
  <si>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</si>
  <si>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</si>
  <si>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</si>
  <si>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</si>
  <si>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</si>
  <si>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</si>
  <si>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</si>
  <si>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</si>
  <si>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</si>
  <si>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</si>
  <si>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</si>
  <si>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</si>
  <si>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</si>
  <si>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</si>
  <si>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</si>
  <si>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</si>
  <si>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</si>
  <si>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</si>
  <si>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</si>
  <si>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</si>
  <si>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</si>
  <si>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</si>
  <si>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</si>
  <si>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</si>
  <si>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</si>
  <si>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</si>
  <si>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</si>
  <si>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</si>
  <si>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</si>
  <si>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</si>
  <si>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</si>
  <si>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</si>
  <si>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</si>
  <si>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</si>
  <si>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</si>
  <si>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</si>
  <si>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</si>
  <si>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</si>
  <si>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</si>
  <si>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</si>
  <si>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</si>
  <si>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</si>
  <si>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</si>
  <si>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</si>
  <si>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</si>
  <si>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</si>
  <si>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</si>
  <si>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</si>
  <si>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</si>
  <si>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</si>
  <si>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</si>
  <si>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</si>
  <si>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</si>
  <si>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</si>
  <si>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</si>
  <si>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</si>
  <si>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</si>
  <si>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</si>
  <si>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</si>
  <si>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</si>
  <si>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</si>
  <si>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</si>
  <si>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</si>
  <si>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</si>
  <si>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</si>
  <si>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</si>
  <si>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</si>
  <si>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</si>
  <si>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</si>
  <si>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</si>
  <si>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</si>
  <si>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</si>
  <si>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</si>
  <si>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</si>
  <si>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</si>
  <si>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</si>
  <si>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</si>
  <si>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</si>
  <si>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</si>
  <si>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</si>
  <si>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</si>
  <si>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</si>
  <si>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</si>
  <si>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</si>
  <si>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</si>
  <si>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</si>
  <si>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</si>
  <si>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</si>
  <si>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</si>
  <si>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</si>
  <si>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</si>
  <si>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</si>
  <si>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</si>
  <si>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</si>
  <si>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</si>
  <si>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</si>
  <si>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</si>
  <si>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</si>
  <si>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</si>
  <si>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</si>
  <si>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</si>
  <si>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</si>
  <si>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</si>
  <si>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</si>
  <si>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</si>
  <si>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</si>
  <si>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</si>
  <si>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</si>
  <si>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</si>
  <si>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</si>
  <si>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</si>
  <si>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</si>
  <si>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</si>
  <si>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</si>
  <si>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</si>
  <si>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</si>
  <si>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</si>
  <si>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</si>
  <si>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</si>
  <si>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</si>
  <si>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</si>
  <si>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</si>
  <si>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</si>
  <si>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</si>
  <si>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</si>
  <si>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</si>
  <si>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</si>
  <si>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</si>
  <si>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</si>
  <si>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</si>
  <si>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</si>
  <si>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</si>
  <si>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</si>
  <si>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</si>
  <si>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</si>
  <si>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</si>
  <si>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</si>
  <si>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</si>
  <si>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</si>
  <si>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</si>
  <si>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</si>
  <si>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</si>
  <si>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</si>
  <si>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</si>
  <si>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</si>
  <si>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</si>
  <si>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</si>
  <si>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</si>
  <si>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</si>
  <si>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</si>
  <si>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</si>
  <si>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</si>
  <si>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</si>
  <si>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</si>
  <si>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</si>
  <si>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</si>
  <si>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</si>
  <si>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</si>
  <si>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</si>
  <si>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</si>
  <si>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</si>
  <si>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</si>
  <si>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</si>
  <si>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</si>
  <si>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</si>
  <si>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</si>
  <si>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</si>
  <si>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</si>
  <si>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</si>
  <si>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</si>
  <si>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</si>
  <si>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</si>
  <si>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</si>
  <si>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</si>
  <si>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</si>
  <si>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</si>
  <si>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</si>
  <si>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</si>
  <si>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</si>
  <si>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</si>
  <si>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</si>
  <si>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</si>
  <si>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</si>
  <si>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</si>
  <si>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</si>
  <si>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</si>
  <si>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</si>
  <si>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</si>
  <si>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</si>
  <si>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</si>
  <si>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</si>
  <si>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</si>
  <si>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</si>
  <si>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</si>
  <si>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</si>
  <si>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</si>
  <si>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</si>
  <si>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</si>
  <si>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</si>
  <si>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</si>
  <si>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</si>
  <si>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</si>
  <si>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</si>
  <si>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</si>
  <si>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</si>
  <si>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</si>
  <si>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</si>
  <si>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</si>
  <si>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</si>
  <si>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</si>
  <si>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</si>
  <si>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</si>
  <si>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</si>
  <si>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</si>
  <si>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</si>
  <si>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</si>
  <si>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</si>
  <si>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</si>
  <si>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</si>
  <si>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</si>
  <si>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</si>
  <si>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</si>
  <si>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</si>
  <si>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</si>
  <si>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</si>
  <si>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</si>
  <si>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</si>
  <si>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</si>
  <si>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</si>
  <si>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</si>
  <si>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</si>
  <si>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</si>
  <si>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</si>
  <si>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</si>
  <si>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</si>
  <si>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</si>
  <si>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</si>
  <si>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</si>
  <si>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</si>
  <si>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</si>
  <si>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</si>
  <si>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</si>
  <si>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</si>
  <si>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</si>
  <si>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</si>
  <si>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</si>
  <si>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</si>
  <si>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</si>
  <si>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</si>
  <si>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</si>
  <si>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</si>
  <si>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</si>
  <si>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</si>
  <si>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</si>
  <si>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</si>
  <si>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</si>
  <si>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</si>
  <si>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</si>
  <si>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</si>
  <si>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</si>
  <si>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</si>
  <si>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</si>
  <si>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</si>
  <si>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</si>
  <si>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</si>
  <si>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</si>
  <si>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</si>
  <si>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</si>
  <si>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</si>
  <si>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</si>
  <si>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</si>
  <si>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</si>
  <si>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</si>
  <si>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</si>
  <si>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</si>
  <si>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</si>
  <si>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</si>
  <si>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</si>
  <si>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</si>
  <si>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</si>
  <si>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</si>
  <si>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</si>
  <si>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</si>
  <si>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</si>
  <si>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</si>
  <si>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</si>
  <si>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</si>
  <si>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</si>
  <si>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</si>
  <si>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</si>
  <si>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</si>
  <si>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</si>
  <si>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</si>
  <si>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</si>
  <si>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</si>
  <si>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</si>
  <si>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RAYMOND SCHOOL DISTRICT</t>
  </si>
  <si>
    <t>8/05</t>
  </si>
  <si>
    <t>8/25</t>
  </si>
  <si>
    <t>10/03</t>
  </si>
  <si>
    <t>10/13</t>
  </si>
  <si>
    <t>Scholarship Funds</t>
  </si>
  <si>
    <t>Other Assessments from Local Sources of $15,111.00 are Impact Fees received from the Town of Raymond</t>
  </si>
  <si>
    <t>Other Restricted State Aid of $6,143.36 is Differentiated Charter School Aid</t>
  </si>
  <si>
    <t>Transfers from Special Revenue Fund of $32,432.50 are Indirect Costs charged to Grants</t>
  </si>
  <si>
    <t>Other Food Service Revenues from Local Sources of $17,799.98 are Catering Sales</t>
  </si>
  <si>
    <t>Other General Fund Revenues from Local Sources of $462,906.17 are net Surplus Refunds received from LGC.</t>
  </si>
  <si>
    <t>Other Special Revenue from Local Sources of $8,546.63 are Private Grants</t>
  </si>
  <si>
    <t>Other Expendable Funds Property of $21,817.35 is for Food Service Equipment</t>
  </si>
  <si>
    <t>Fund Transfers to General Fund of $32,432.50 are Indirect Costs charged to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</si>
</sst>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453</v>
      </c>
      <c r="C2" s="21">
        <v>453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1318172.37+100</f>
        <v>1318272.3700000001</v>
      </c>
      <c r="G9" s="18">
        <v>100</v>
      </c>
      <c r="H9" s="18"/>
      <c r="I9" s="18"/>
      <c r="J9" s="67">
        <f>SUM(I439)</f>
        <v>663950.91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9359.7800000000007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55809.96</f>
        <v>55809.96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16057.22</v>
      </c>
      <c r="H13" s="18">
        <v>110349.61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4344.57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1387786.6800000002</v>
      </c>
      <c r="G19" s="41">
        <f>SUM(G9:G18)</f>
        <v>16157.22</v>
      </c>
      <c r="H19" s="41">
        <f>SUM(H9:H18)</f>
        <v>110349.61</v>
      </c>
      <c r="I19" s="41">
        <f>SUM(I9:I18)</f>
        <v>0</v>
      </c>
      <c r="J19" s="41">
        <f>SUM(J9:J18)</f>
        <v>663950.91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9208.98</v>
      </c>
      <c r="H22" s="18">
        <v>46600.98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318910.89+285679.72</f>
        <v>604590.61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116342.83+17414.56</f>
        <v>133757.39000000001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109260.87+862.62+4064.39</f>
        <v>114187.87999999999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6948.24</v>
      </c>
      <c r="H30" s="18">
        <v>63748.63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852535.88</v>
      </c>
      <c r="G32" s="41">
        <f>SUM(G22:G31)</f>
        <v>16157.22</v>
      </c>
      <c r="H32" s="41">
        <f>SUM(H22:H31)</f>
        <v>110349.61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50000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663950.91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34114.99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451135.81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535250.80000000005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663950.91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1387786.6800000002</v>
      </c>
      <c r="G52" s="41">
        <f>G51+G32</f>
        <v>16157.22</v>
      </c>
      <c r="H52" s="41">
        <f>H51+H32</f>
        <v>110349.61</v>
      </c>
      <c r="I52" s="41">
        <f>I51+I32</f>
        <v>0</v>
      </c>
      <c r="J52" s="41">
        <f>J51+J32</f>
        <v>663950.91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11483812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15111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11498923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41784.720000000001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2900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48813.72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9925.0499999999993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103423.49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257.5</v>
      </c>
      <c r="G96" s="18"/>
      <c r="H96" s="18"/>
      <c r="I96" s="18"/>
      <c r="J96" s="18">
        <v>4202.33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159313.3+9986.7+104982.69</f>
        <v>274282.69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1362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2579.5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673.42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818.34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462906.17</v>
      </c>
      <c r="G110" s="18">
        <v>17799.98</v>
      </c>
      <c r="H110" s="18">
        <f>3474.38+4922.25+150</f>
        <v>8546.630000000001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468596.93</v>
      </c>
      <c r="G111" s="41">
        <f>SUM(G96:G110)</f>
        <v>292082.67</v>
      </c>
      <c r="H111" s="41">
        <f>SUM(H96:H110)</f>
        <v>8546.630000000001</v>
      </c>
      <c r="I111" s="41">
        <f>SUM(I96:I110)</f>
        <v>0</v>
      </c>
      <c r="J111" s="41">
        <f>SUM(J96:J110)</f>
        <v>4202.33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12070943.42</v>
      </c>
      <c r="G112" s="41">
        <f>G60+G111</f>
        <v>292082.67</v>
      </c>
      <c r="H112" s="41">
        <f>H60+H79+H94+H111</f>
        <v>8546.630000000001</v>
      </c>
      <c r="I112" s="41">
        <f>I60+I111</f>
        <v>0</v>
      </c>
      <c r="J112" s="41">
        <f>J60+J111</f>
        <v>4202.33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5663025.9100000001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1977746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7640771.9100000001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428193.22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255199.83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22100.400000000001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6134.4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6143.36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711636.80999999994</v>
      </c>
      <c r="G136" s="41">
        <f>SUM(G123:G135)</f>
        <v>6134.4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8352408.7199999997</v>
      </c>
      <c r="G140" s="41">
        <f>G121+SUM(G136:G137)</f>
        <v>6134.4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288322.38+9063.77</f>
        <v>297386.15000000002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30853.07+252230.53+21785.54+3161.67+404+6679.42</f>
        <v>315114.22999999992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221538.02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328770.58+7758.32</f>
        <v>336528.9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269887.52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269887.52</v>
      </c>
      <c r="G162" s="41">
        <f>SUM(G150:G161)</f>
        <v>221538.02</v>
      </c>
      <c r="H162" s="41">
        <f>SUM(H150:H161)</f>
        <v>949029.27999999991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269887.52</v>
      </c>
      <c r="G169" s="41">
        <f>G147+G162+SUM(G163:G168)</f>
        <v>221538.02</v>
      </c>
      <c r="H169" s="41">
        <f>H147+H162+SUM(H163:H168)</f>
        <v>949029.27999999991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7376.02</v>
      </c>
      <c r="H179" s="18"/>
      <c r="I179" s="18"/>
      <c r="J179" s="18">
        <v>195000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32432.5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32432.5</v>
      </c>
      <c r="G183" s="41">
        <f>SUM(G179:G182)</f>
        <v>7376.02</v>
      </c>
      <c r="H183" s="41">
        <f>SUM(H179:H182)</f>
        <v>0</v>
      </c>
      <c r="I183" s="41">
        <f>SUM(I179:I182)</f>
        <v>0</v>
      </c>
      <c r="J183" s="41">
        <f>SUM(J179:J182)</f>
        <v>195000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32432.5</v>
      </c>
      <c r="G192" s="41">
        <f>G183+SUM(G188:G191)</f>
        <v>7376.02</v>
      </c>
      <c r="H192" s="41">
        <f>+H183+SUM(H188:H191)</f>
        <v>0</v>
      </c>
      <c r="I192" s="41">
        <f>I177+I183+SUM(I188:I191)</f>
        <v>0</v>
      </c>
      <c r="J192" s="41">
        <f>J183</f>
        <v>195000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20725672.16</v>
      </c>
      <c r="G193" s="47">
        <f>G112+G140+G169+G192</f>
        <v>527131.11</v>
      </c>
      <c r="H193" s="47">
        <f>H112+H140+H169+H192</f>
        <v>957575.90999999992</v>
      </c>
      <c r="I193" s="47">
        <f>I112+I140+I169+I192</f>
        <v>0</v>
      </c>
      <c r="J193" s="47">
        <f>J112+J140+J192</f>
        <v>199202.33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1597603.03+36763.38</f>
        <v>1634366.41</v>
      </c>
      <c r="G197" s="18">
        <f>758229.11+87706.9</f>
        <v>845936.01</v>
      </c>
      <c r="H197" s="18">
        <f>5000+14681.4</f>
        <v>19681.400000000001</v>
      </c>
      <c r="I197" s="18">
        <f>51870.83</f>
        <v>51870.83</v>
      </c>
      <c r="J197" s="18">
        <f>2700</f>
        <v>2700</v>
      </c>
      <c r="K197" s="18">
        <f>127</f>
        <v>127</v>
      </c>
      <c r="L197" s="19">
        <f>SUM(F197:K197)</f>
        <v>2554681.65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679271.02+63416.46</f>
        <v>742687.48</v>
      </c>
      <c r="G198" s="18">
        <f>395705.26+18640.94</f>
        <v>414346.2</v>
      </c>
      <c r="H198" s="18">
        <f>154854.88+102138.34</f>
        <v>256993.22</v>
      </c>
      <c r="I198" s="18">
        <f>1882.28+1110.73</f>
        <v>2993.01</v>
      </c>
      <c r="J198" s="18">
        <f>2220.29</f>
        <v>2220.29</v>
      </c>
      <c r="K198" s="18">
        <f>9055.97</f>
        <v>9055.9699999999993</v>
      </c>
      <c r="L198" s="19">
        <f>SUM(F198:K198)</f>
        <v>1428296.17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9096</f>
        <v>9096</v>
      </c>
      <c r="G200" s="18">
        <f>1749.07</f>
        <v>1749.07</v>
      </c>
      <c r="H200" s="18"/>
      <c r="I200" s="18"/>
      <c r="J200" s="18"/>
      <c r="K200" s="18"/>
      <c r="L200" s="19">
        <f>SUM(F200:K200)</f>
        <v>10845.07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195460.29+34466.74</f>
        <v>229927.03</v>
      </c>
      <c r="G202" s="18">
        <f>149130.72+17054.94</f>
        <v>166185.66</v>
      </c>
      <c r="H202" s="18">
        <f>1842.83</f>
        <v>1842.83</v>
      </c>
      <c r="I202" s="18">
        <f>999.22+1509.36</f>
        <v>2508.58</v>
      </c>
      <c r="J202" s="18"/>
      <c r="K202" s="18"/>
      <c r="L202" s="19">
        <f t="shared" ref="L202:L208" si="0">SUM(F202:K202)</f>
        <v>400464.10000000003</v>
      </c>
      <c r="M202" s="8"/>
      <c r="N202" s="272"/>
    </row>
    <row r="203" spans="1:14" s="3" customFormat="1" ht="12" customHeight="1" x14ac:dyDescent="0.2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43392+61854.43</f>
        <v>105246.43</v>
      </c>
      <c r="G203" s="18">
        <f>25228.78+29780.54</f>
        <v>55009.32</v>
      </c>
      <c r="H203" s="18">
        <f>9706.17+13889.74</f>
        <v>23595.91</v>
      </c>
      <c r="I203" s="18">
        <f>15341.64+8189.8</f>
        <v>23531.439999999999</v>
      </c>
      <c r="J203" s="18">
        <f>5965.66+94.3</f>
        <v>6059.96</v>
      </c>
      <c r="K203"/>
      <c r="L203" s="19">
        <f t="shared" si="0"/>
        <v>213443.06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157550.69</v>
      </c>
      <c r="G204" s="18">
        <v>67651.199999999997</v>
      </c>
      <c r="H204" s="18">
        <v>48635.34</v>
      </c>
      <c r="I204" s="18">
        <v>6004.48</v>
      </c>
      <c r="J204" s="18">
        <v>263.3</v>
      </c>
      <c r="K204" s="18">
        <v>6099.88</v>
      </c>
      <c r="L204" s="19">
        <f t="shared" si="0"/>
        <v>286204.88999999996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213892.02</f>
        <v>213892.02</v>
      </c>
      <c r="G205" s="18">
        <f>116541.02</f>
        <v>116541.02</v>
      </c>
      <c r="H205" s="18">
        <f>18128.37</f>
        <v>18128.37</v>
      </c>
      <c r="I205" s="18">
        <f>1070.94</f>
        <v>1070.94</v>
      </c>
      <c r="J205" s="18"/>
      <c r="K205" s="18">
        <f>1470</f>
        <v>1470</v>
      </c>
      <c r="L205" s="19">
        <f t="shared" si="0"/>
        <v>351102.35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56672.12</v>
      </c>
      <c r="G206" s="18">
        <v>30219.03</v>
      </c>
      <c r="H206" s="18">
        <v>1552.07</v>
      </c>
      <c r="I206" s="18"/>
      <c r="J206" s="18"/>
      <c r="K206" s="18">
        <v>570.94000000000005</v>
      </c>
      <c r="L206" s="19">
        <f t="shared" si="0"/>
        <v>89014.16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120982.41+79256.51</f>
        <v>200238.91999999998</v>
      </c>
      <c r="G207" s="18">
        <f>64595.97+28723.85</f>
        <v>93319.82</v>
      </c>
      <c r="H207" s="18">
        <f>96591.36+25703.86</f>
        <v>122295.22</v>
      </c>
      <c r="I207" s="18">
        <f>133541.72+1421.38</f>
        <v>134963.1</v>
      </c>
      <c r="J207" s="18">
        <f>1668.98</f>
        <v>1668.98</v>
      </c>
      <c r="K207" s="18"/>
      <c r="L207" s="19">
        <f t="shared" si="0"/>
        <v>552486.03999999992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1789.55+147386.4+36998.64+33300+3330</f>
        <v>222804.58999999997</v>
      </c>
      <c r="I208" s="18"/>
      <c r="J208" s="18"/>
      <c r="K208" s="18"/>
      <c r="L208" s="19">
        <f t="shared" si="0"/>
        <v>222804.58999999997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f>916.48</f>
        <v>916.48</v>
      </c>
      <c r="I209" s="18"/>
      <c r="J209" s="18"/>
      <c r="K209" s="18"/>
      <c r="L209" s="19">
        <f>SUM(F209:K209)</f>
        <v>916.48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3349677.0999999996</v>
      </c>
      <c r="G211" s="41">
        <f t="shared" si="1"/>
        <v>1790957.33</v>
      </c>
      <c r="H211" s="41">
        <f t="shared" si="1"/>
        <v>716445.42999999993</v>
      </c>
      <c r="I211" s="41">
        <f t="shared" si="1"/>
        <v>222942.38</v>
      </c>
      <c r="J211" s="41">
        <f t="shared" si="1"/>
        <v>12912.529999999999</v>
      </c>
      <c r="K211" s="41">
        <f t="shared" si="1"/>
        <v>17323.789999999997</v>
      </c>
      <c r="L211" s="41">
        <f t="shared" si="1"/>
        <v>6110258.5599999987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1659567.34+29584.22</f>
        <v>1689151.56</v>
      </c>
      <c r="G215" s="18">
        <f>845986.13+70579.46</f>
        <v>916565.59</v>
      </c>
      <c r="H215" s="18">
        <f>3745.22+11814.41</f>
        <v>15559.63</v>
      </c>
      <c r="I215" s="18">
        <f>37815.94</f>
        <v>37815.94</v>
      </c>
      <c r="J215" s="18">
        <f>376.6</f>
        <v>376.6</v>
      </c>
      <c r="K215" s="18"/>
      <c r="L215" s="19">
        <f>SUM(F215:K215)</f>
        <v>2659469.3199999998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532491.14+51032.46</f>
        <v>583523.6</v>
      </c>
      <c r="G216" s="18">
        <f>394459.91+15000.73</f>
        <v>409460.63999999996</v>
      </c>
      <c r="H216" s="18">
        <f>289583.88+82192.73</f>
        <v>371776.61</v>
      </c>
      <c r="I216" s="18">
        <f>1981.99+893.83</f>
        <v>2875.82</v>
      </c>
      <c r="J216" s="18">
        <f>509.35</f>
        <v>509.35</v>
      </c>
      <c r="K216" s="18">
        <f>7287.52</f>
        <v>7287.52</v>
      </c>
      <c r="L216" s="19">
        <f>SUM(F216:K216)</f>
        <v>1375433.5400000003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36271.87</f>
        <v>36271.870000000003</v>
      </c>
      <c r="G218" s="18">
        <f>6013.56</f>
        <v>6013.56</v>
      </c>
      <c r="H218" s="18">
        <f>5358</f>
        <v>5358</v>
      </c>
      <c r="I218" s="18">
        <f>356.81</f>
        <v>356.81</v>
      </c>
      <c r="J218" s="18"/>
      <c r="K218" s="18"/>
      <c r="L218" s="19">
        <f>SUM(F218:K218)</f>
        <v>48000.24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264203.5+27736.08</f>
        <v>291939.58</v>
      </c>
      <c r="G220" s="18">
        <f>136737.52+13724.44</f>
        <v>150461.96</v>
      </c>
      <c r="H220" s="18"/>
      <c r="I220" s="18">
        <f>1810.1+1214.61</f>
        <v>3024.71</v>
      </c>
      <c r="J220" s="18"/>
      <c r="K220" s="18"/>
      <c r="L220" s="19">
        <f t="shared" ref="L220:L226" si="2">SUM(F220:K220)</f>
        <v>445426.25000000006</v>
      </c>
      <c r="M220" s="8"/>
      <c r="N220" s="272"/>
    </row>
    <row r="221" spans="1:14" s="3" customFormat="1" ht="12" customHeight="1" x14ac:dyDescent="0.2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56556+49775.48</f>
        <v>106331.48000000001</v>
      </c>
      <c r="G221" s="18">
        <f>28262.79+23964.98</f>
        <v>52227.770000000004</v>
      </c>
      <c r="H221" s="18">
        <f>9573.19+11177.34</f>
        <v>20750.53</v>
      </c>
      <c r="I221" s="18">
        <f>10994.53+6590.5</f>
        <v>17585.03</v>
      </c>
      <c r="J221" s="18">
        <f>20603.28+75.88</f>
        <v>20679.16</v>
      </c>
      <c r="K221"/>
      <c r="L221" s="19">
        <f t="shared" si="2"/>
        <v>217573.97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126784.13</v>
      </c>
      <c r="G222" s="18">
        <v>54440.24</v>
      </c>
      <c r="H222" s="18">
        <v>39137.82</v>
      </c>
      <c r="I222" s="18">
        <v>4831.92</v>
      </c>
      <c r="J222" s="18">
        <v>211.88</v>
      </c>
      <c r="K222" s="18">
        <v>4908.7</v>
      </c>
      <c r="L222" s="19">
        <f t="shared" si="2"/>
        <v>230314.69000000003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232165.07</f>
        <v>232165.07</v>
      </c>
      <c r="G223" s="18">
        <f>134281.88</f>
        <v>134281.88</v>
      </c>
      <c r="H223" s="18">
        <f>26072.8</f>
        <v>26072.799999999999</v>
      </c>
      <c r="I223" s="18">
        <f>1445.4</f>
        <v>1445.4</v>
      </c>
      <c r="J223" s="18"/>
      <c r="K223" s="18">
        <f>1120</f>
        <v>1120</v>
      </c>
      <c r="L223" s="19">
        <f t="shared" si="2"/>
        <v>395085.15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45605.17</v>
      </c>
      <c r="G224" s="18">
        <v>24317.84</v>
      </c>
      <c r="H224" s="18">
        <v>1248.98</v>
      </c>
      <c r="I224" s="18"/>
      <c r="J224" s="18"/>
      <c r="K224" s="18">
        <v>459.45</v>
      </c>
      <c r="L224" s="19">
        <f t="shared" si="2"/>
        <v>71631.439999999988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128270.79+63779.26</f>
        <v>192050.05</v>
      </c>
      <c r="G225" s="18">
        <f>75736.4+23114.64</f>
        <v>98851.04</v>
      </c>
      <c r="H225" s="18">
        <f>62231.5+20684.41</f>
        <v>82915.91</v>
      </c>
      <c r="I225" s="18">
        <f>171002.31+1143.82</f>
        <v>172146.13</v>
      </c>
      <c r="J225" s="18">
        <f>1343.06</f>
        <v>1343.06</v>
      </c>
      <c r="K225" s="18"/>
      <c r="L225" s="19">
        <f t="shared" si="2"/>
        <v>547306.19000000006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 t="s">
        <v>287</v>
      </c>
      <c r="G226" s="18"/>
      <c r="H226" s="18">
        <f>7088.99+128963.1+92496.6+33300+3330</f>
        <v>265178.69</v>
      </c>
      <c r="I226" s="18"/>
      <c r="J226" s="18"/>
      <c r="K226" s="18"/>
      <c r="L226" s="19">
        <f t="shared" si="2"/>
        <v>265178.69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f>737.51</f>
        <v>737.51</v>
      </c>
      <c r="I227" s="18"/>
      <c r="J227" s="18"/>
      <c r="K227" s="18"/>
      <c r="L227" s="19">
        <f>SUM(F227:K227)</f>
        <v>737.51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3303822.51</v>
      </c>
      <c r="G229" s="41">
        <f>SUM(G215:G228)</f>
        <v>1846620.5200000003</v>
      </c>
      <c r="H229" s="41">
        <f>SUM(H215:H228)</f>
        <v>828736.48</v>
      </c>
      <c r="I229" s="41">
        <f>SUM(I215:I228)</f>
        <v>240081.76</v>
      </c>
      <c r="J229" s="41">
        <f>SUM(J215:J228)</f>
        <v>23120.050000000003</v>
      </c>
      <c r="K229" s="41">
        <f t="shared" si="3"/>
        <v>13775.670000000002</v>
      </c>
      <c r="L229" s="41">
        <f t="shared" si="3"/>
        <v>6256156.9900000021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1568220.6+32251.86</f>
        <v>1600472.4600000002</v>
      </c>
      <c r="G233" s="18">
        <f>790562.87+76943.67</f>
        <v>867506.54</v>
      </c>
      <c r="H233" s="18">
        <f>16033.46+12879.72</f>
        <v>28913.18</v>
      </c>
      <c r="I233" s="18">
        <f>60719.44</f>
        <v>60719.44</v>
      </c>
      <c r="J233" s="18">
        <f>2882</f>
        <v>2882</v>
      </c>
      <c r="K233" s="18">
        <f>210</f>
        <v>210</v>
      </c>
      <c r="L233" s="19">
        <f>SUM(F233:K233)</f>
        <v>2560703.62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462210.59+55634.11</f>
        <v>517844.7</v>
      </c>
      <c r="G234" s="18">
        <f>296197.18+16353.35</f>
        <v>312550.52999999997</v>
      </c>
      <c r="H234" s="18">
        <f>557822.5+89604.11</f>
        <v>647426.61</v>
      </c>
      <c r="I234" s="18">
        <f>1134.56+974.43</f>
        <v>2108.9899999999998</v>
      </c>
      <c r="J234" s="18">
        <f>455.61</f>
        <v>455.61</v>
      </c>
      <c r="K234" s="18">
        <f>7944.64</f>
        <v>7944.64</v>
      </c>
      <c r="L234" s="19">
        <f>SUM(F234:K234)</f>
        <v>1488331.0799999998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173937.5</f>
        <v>173937.5</v>
      </c>
      <c r="I235" s="18"/>
      <c r="J235" s="18"/>
      <c r="K235" s="18"/>
      <c r="L235" s="19">
        <f>SUM(F235:K235)</f>
        <v>173937.5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100942.23</f>
        <v>100942.23</v>
      </c>
      <c r="G236" s="18">
        <f>14798.62</f>
        <v>14798.62</v>
      </c>
      <c r="H236" s="18">
        <f>29493.28</f>
        <v>29493.279999999999</v>
      </c>
      <c r="I236" s="18">
        <f>11108.45</f>
        <v>11108.45</v>
      </c>
      <c r="J236" s="18">
        <f>5325.82</f>
        <v>5325.82</v>
      </c>
      <c r="K236" s="18">
        <f>6886</f>
        <v>6886</v>
      </c>
      <c r="L236" s="19">
        <f>SUM(F236:K236)</f>
        <v>168554.40000000002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299241.62+30237.05</f>
        <v>329478.67</v>
      </c>
      <c r="G238" s="18">
        <f>179735.69+14961.99</f>
        <v>194697.68</v>
      </c>
      <c r="H238" s="18">
        <f>42224.75</f>
        <v>42224.75</v>
      </c>
      <c r="I238" s="18">
        <f>5560.12+1324.14</f>
        <v>6884.26</v>
      </c>
      <c r="J238" s="18"/>
      <c r="K238" s="18"/>
      <c r="L238" s="19">
        <f t="shared" ref="L238:L244" si="4">SUM(F238:K238)</f>
        <v>573285.36</v>
      </c>
      <c r="M238" s="8"/>
      <c r="N238" s="272"/>
    </row>
    <row r="239" spans="1:14" s="3" customFormat="1" ht="12" customHeight="1" x14ac:dyDescent="0.2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52137.58+54263.77</f>
        <v>106401.35</v>
      </c>
      <c r="G239" s="18">
        <f>17696.25+26125.93</f>
        <v>43822.18</v>
      </c>
      <c r="H239" s="18">
        <f>4891.05+12185.22</f>
        <v>17076.27</v>
      </c>
      <c r="I239" s="18">
        <f>25374.49+7184.76</f>
        <v>32559.25</v>
      </c>
      <c r="J239" s="18">
        <f>18106.56+82.72</f>
        <v>18189.280000000002</v>
      </c>
      <c r="K239"/>
      <c r="L239" s="19">
        <f t="shared" si="4"/>
        <v>218048.33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138216.35999999999</v>
      </c>
      <c r="G240" s="18">
        <v>59349.16</v>
      </c>
      <c r="H240" s="18">
        <v>42666.91</v>
      </c>
      <c r="I240" s="18">
        <v>5267.62</v>
      </c>
      <c r="J240" s="18">
        <v>230.99</v>
      </c>
      <c r="K240" s="18">
        <v>5351.32</v>
      </c>
      <c r="L240" s="19">
        <f t="shared" si="4"/>
        <v>251082.36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243677.48</f>
        <v>243677.48</v>
      </c>
      <c r="G241" s="18">
        <f>160815.45</f>
        <v>160815.45000000001</v>
      </c>
      <c r="H241" s="18">
        <f>34700.82</f>
        <v>34700.82</v>
      </c>
      <c r="I241" s="18">
        <f>437.81</f>
        <v>437.81</v>
      </c>
      <c r="J241" s="18"/>
      <c r="K241" s="18">
        <f>4423</f>
        <v>4423</v>
      </c>
      <c r="L241" s="19">
        <f t="shared" si="4"/>
        <v>444054.56000000006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49717.43</v>
      </c>
      <c r="G242" s="18">
        <v>26510.6</v>
      </c>
      <c r="H242" s="18">
        <v>1361.61</v>
      </c>
      <c r="I242" s="18"/>
      <c r="J242" s="18"/>
      <c r="K242" s="18">
        <v>500.88</v>
      </c>
      <c r="L242" s="19">
        <f t="shared" si="4"/>
        <v>78090.52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119775.32+69530.29</f>
        <v>189305.61</v>
      </c>
      <c r="G243" s="18">
        <f>86882.18+25198.91</f>
        <v>112081.09</v>
      </c>
      <c r="H243" s="18">
        <f>75654.19+22549.54</f>
        <v>98203.73000000001</v>
      </c>
      <c r="I243" s="18">
        <f>117568.63+1246.96</f>
        <v>118815.59000000001</v>
      </c>
      <c r="J243" s="18">
        <f>1464.16</f>
        <v>1464.16</v>
      </c>
      <c r="K243" s="18"/>
      <c r="L243" s="19">
        <f t="shared" si="4"/>
        <v>519870.17999999993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29233.48+155989.8+129495.23+33300+3330</f>
        <v>351348.51</v>
      </c>
      <c r="I244" s="18"/>
      <c r="J244" s="18"/>
      <c r="K244" s="18"/>
      <c r="L244" s="19">
        <f t="shared" si="4"/>
        <v>351348.51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f>804.01</f>
        <v>804.01</v>
      </c>
      <c r="I245" s="18"/>
      <c r="J245" s="18"/>
      <c r="K245" s="18"/>
      <c r="L245" s="19">
        <f>SUM(F245:K245)</f>
        <v>804.01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3276056.29</v>
      </c>
      <c r="G247" s="41">
        <f t="shared" si="5"/>
        <v>1792131.85</v>
      </c>
      <c r="H247" s="41">
        <f t="shared" si="5"/>
        <v>1468157.1800000002</v>
      </c>
      <c r="I247" s="41">
        <f t="shared" si="5"/>
        <v>237901.41</v>
      </c>
      <c r="J247" s="41">
        <f t="shared" si="5"/>
        <v>28547.860000000004</v>
      </c>
      <c r="K247" s="41">
        <f t="shared" si="5"/>
        <v>25315.84</v>
      </c>
      <c r="L247" s="41">
        <f t="shared" si="5"/>
        <v>6828110.4299999997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>
        <f>18681.12</f>
        <v>18681.12</v>
      </c>
      <c r="J253" s="18"/>
      <c r="K253" s="18"/>
      <c r="L253" s="19">
        <f t="shared" si="6"/>
        <v>18681.12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18681.12</v>
      </c>
      <c r="J256" s="41">
        <f t="shared" si="7"/>
        <v>0</v>
      </c>
      <c r="K256" s="41">
        <f t="shared" si="7"/>
        <v>0</v>
      </c>
      <c r="L256" s="41">
        <f>SUM(F256:K256)</f>
        <v>18681.12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9929555.8999999985</v>
      </c>
      <c r="G257" s="41">
        <f t="shared" si="8"/>
        <v>5429709.7000000011</v>
      </c>
      <c r="H257" s="41">
        <f t="shared" si="8"/>
        <v>3013339.09</v>
      </c>
      <c r="I257" s="41">
        <f t="shared" si="8"/>
        <v>719606.67</v>
      </c>
      <c r="J257" s="41">
        <f t="shared" si="8"/>
        <v>64580.44</v>
      </c>
      <c r="K257" s="41">
        <f t="shared" si="8"/>
        <v>56415.3</v>
      </c>
      <c r="L257" s="41">
        <f t="shared" si="8"/>
        <v>19213207.100000001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725547.73</v>
      </c>
      <c r="L260" s="19">
        <f>SUM(F260:K260)</f>
        <v>725547.73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303756.11</v>
      </c>
      <c r="L261" s="19">
        <f>SUM(F261:K261)</f>
        <v>303756.11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7376.02</v>
      </c>
      <c r="L263" s="19">
        <f>SUM(F263:K263)</f>
        <v>7376.02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195000</v>
      </c>
      <c r="L266" s="19">
        <f t="shared" si="9"/>
        <v>195000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1231679.8599999999</v>
      </c>
      <c r="L270" s="41">
        <f t="shared" si="9"/>
        <v>1231679.8599999999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9929555.8999999985</v>
      </c>
      <c r="G271" s="42">
        <f t="shared" si="11"/>
        <v>5429709.7000000011</v>
      </c>
      <c r="H271" s="42">
        <f t="shared" si="11"/>
        <v>3013339.09</v>
      </c>
      <c r="I271" s="42">
        <f t="shared" si="11"/>
        <v>719606.67</v>
      </c>
      <c r="J271" s="42">
        <f t="shared" si="11"/>
        <v>64580.44</v>
      </c>
      <c r="K271" s="42">
        <f t="shared" si="11"/>
        <v>1288095.1599999999</v>
      </c>
      <c r="L271" s="42">
        <f t="shared" si="11"/>
        <v>20444886.960000001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164031.25</f>
        <v>164031.25</v>
      </c>
      <c r="G276" s="18">
        <f>41260.12</f>
        <v>41260.120000000003</v>
      </c>
      <c r="H276" s="18">
        <f>8731.96</f>
        <v>8731.9599999999991</v>
      </c>
      <c r="I276" s="18"/>
      <c r="J276" s="18"/>
      <c r="K276" s="18"/>
      <c r="L276" s="19">
        <f>SUM(F276:K276)</f>
        <v>214023.33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49633.7+16453.17</f>
        <v>66086.87</v>
      </c>
      <c r="G277" s="18">
        <f>33433.98+6183.97</f>
        <v>39617.950000000004</v>
      </c>
      <c r="H277" s="18"/>
      <c r="I277" s="18">
        <f>590.29</f>
        <v>590.29</v>
      </c>
      <c r="J277" s="18">
        <f>1200.69</f>
        <v>1200.69</v>
      </c>
      <c r="K277" s="18"/>
      <c r="L277" s="19">
        <f>SUM(F277:K277)</f>
        <v>107495.8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61239.43+26336.21</f>
        <v>87575.64</v>
      </c>
      <c r="G279" s="18">
        <f>6036.28+11957.9</f>
        <v>17994.18</v>
      </c>
      <c r="H279" s="18">
        <f>2957.54</f>
        <v>2957.54</v>
      </c>
      <c r="I279" s="18">
        <f>8235.52</f>
        <v>8235.52</v>
      </c>
      <c r="J279" s="18"/>
      <c r="K279" s="18"/>
      <c r="L279" s="19">
        <f>SUM(F279:K279)</f>
        <v>116762.88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55792.44</f>
        <v>55792.44</v>
      </c>
      <c r="G281" s="18">
        <f>14376.98</f>
        <v>14376.98</v>
      </c>
      <c r="H281" s="18"/>
      <c r="I281" s="18"/>
      <c r="J281" s="18"/>
      <c r="K281" s="18"/>
      <c r="L281" s="19">
        <f t="shared" ref="L281:L287" si="12">SUM(F281:K281)</f>
        <v>70169.42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2460.85</f>
        <v>2460.85</v>
      </c>
      <c r="G282" s="18">
        <f>282.36</f>
        <v>282.36</v>
      </c>
      <c r="H282" s="18">
        <f>7000+3409.75+20119.31</f>
        <v>30529.06</v>
      </c>
      <c r="I282" s="18">
        <f>679.51</f>
        <v>679.51</v>
      </c>
      <c r="J282" s="18">
        <f>14869.05</f>
        <v>14869.05</v>
      </c>
      <c r="K282" s="18"/>
      <c r="L282" s="19">
        <f t="shared" si="12"/>
        <v>48820.83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8949.38</f>
        <v>8949.3799999999992</v>
      </c>
      <c r="I287" s="18"/>
      <c r="J287" s="18"/>
      <c r="K287" s="18"/>
      <c r="L287" s="19">
        <f t="shared" si="12"/>
        <v>8949.3799999999992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375947.05</v>
      </c>
      <c r="G290" s="42">
        <f t="shared" si="13"/>
        <v>113531.59</v>
      </c>
      <c r="H290" s="42">
        <f t="shared" si="13"/>
        <v>51167.939999999995</v>
      </c>
      <c r="I290" s="42">
        <f t="shared" si="13"/>
        <v>9505.3200000000015</v>
      </c>
      <c r="J290" s="42">
        <f t="shared" si="13"/>
        <v>16069.74</v>
      </c>
      <c r="K290" s="42">
        <f t="shared" si="13"/>
        <v>0</v>
      </c>
      <c r="L290" s="41">
        <f t="shared" si="13"/>
        <v>566221.64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37440</f>
        <v>37440</v>
      </c>
      <c r="G295" s="18">
        <f>8165.57</f>
        <v>8165.57</v>
      </c>
      <c r="H295" s="18"/>
      <c r="I295" s="18"/>
      <c r="J295" s="18"/>
      <c r="K295" s="18"/>
      <c r="L295" s="19">
        <f>SUM(F295:K295)</f>
        <v>45605.57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23850.2</f>
        <v>23850.2</v>
      </c>
      <c r="G296" s="18">
        <f>8964.15</f>
        <v>8964.15</v>
      </c>
      <c r="H296" s="18"/>
      <c r="I296" s="18">
        <f>855.67</f>
        <v>855.67</v>
      </c>
      <c r="J296" s="18">
        <f>1200.69</f>
        <v>1200.69</v>
      </c>
      <c r="K296" s="18"/>
      <c r="L296" s="19">
        <f>SUM(F296:K296)</f>
        <v>34870.71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50106.53+15467.29</f>
        <v>65573.820000000007</v>
      </c>
      <c r="G298" s="18">
        <f>5699.5+7022.9</f>
        <v>12722.4</v>
      </c>
      <c r="H298" s="18">
        <f>1736.97</f>
        <v>1736.97</v>
      </c>
      <c r="I298" s="18">
        <f>4836.73</f>
        <v>4836.7299999999996</v>
      </c>
      <c r="J298" s="18"/>
      <c r="K298" s="18"/>
      <c r="L298" s="19">
        <f>SUM(F298:K298)</f>
        <v>84869.92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340+1980.29</f>
        <v>2320.29</v>
      </c>
      <c r="G301" s="18">
        <f>64+227.21</f>
        <v>291.21000000000004</v>
      </c>
      <c r="H301" s="18">
        <f>6250+2743.9+11816.11</f>
        <v>20810.010000000002</v>
      </c>
      <c r="I301" s="18">
        <f>399.07</f>
        <v>399.07</v>
      </c>
      <c r="J301" s="18">
        <f>12269.1</f>
        <v>12269.1</v>
      </c>
      <c r="K301" s="18"/>
      <c r="L301" s="19">
        <f t="shared" si="14"/>
        <v>36089.68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f>5255.98</f>
        <v>5255.98</v>
      </c>
      <c r="I306" s="18"/>
      <c r="J306" s="18"/>
      <c r="K306" s="18"/>
      <c r="L306" s="19">
        <f t="shared" si="14"/>
        <v>5255.98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129184.31</v>
      </c>
      <c r="G309" s="42">
        <f t="shared" si="15"/>
        <v>30143.33</v>
      </c>
      <c r="H309" s="42">
        <f t="shared" si="15"/>
        <v>27802.960000000003</v>
      </c>
      <c r="I309" s="42">
        <f t="shared" si="15"/>
        <v>6091.4699999999993</v>
      </c>
      <c r="J309" s="42">
        <f t="shared" si="15"/>
        <v>13469.79</v>
      </c>
      <c r="K309" s="42">
        <f t="shared" si="15"/>
        <v>0</v>
      </c>
      <c r="L309" s="41">
        <f t="shared" si="15"/>
        <v>206691.86000000002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f>40.42</f>
        <v>40.42</v>
      </c>
      <c r="I314" s="18">
        <f>3433.96</f>
        <v>3433.96</v>
      </c>
      <c r="J314" s="18"/>
      <c r="K314" s="18"/>
      <c r="L314" s="19">
        <f>SUM(F314:K314)</f>
        <v>3474.38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41402+28827.63</f>
        <v>70229.63</v>
      </c>
      <c r="G315" s="18">
        <f>31443.2+10834.93</f>
        <v>42278.130000000005</v>
      </c>
      <c r="H315" s="18"/>
      <c r="I315" s="18">
        <f>1034.24</f>
        <v>1034.24</v>
      </c>
      <c r="J315" s="18">
        <f>1200.69</f>
        <v>1200.69</v>
      </c>
      <c r="K315" s="18"/>
      <c r="L315" s="19">
        <f>SUM(F315:K315)</f>
        <v>114742.69000000002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19795+2158.86</f>
        <v>21953.86</v>
      </c>
      <c r="G320" s="18">
        <f>4195.77+247.7</f>
        <v>4443.47</v>
      </c>
      <c r="H320" s="18">
        <f>3320.7+2991.32</f>
        <v>6312.02</v>
      </c>
      <c r="I320" s="18">
        <f>1303.49</f>
        <v>1303.49</v>
      </c>
      <c r="J320" s="18"/>
      <c r="K320" s="18"/>
      <c r="L320" s="19">
        <f t="shared" si="16"/>
        <v>34012.840000000004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92183.49</v>
      </c>
      <c r="G328" s="42">
        <f t="shared" si="17"/>
        <v>46721.600000000006</v>
      </c>
      <c r="H328" s="42">
        <f t="shared" si="17"/>
        <v>6352.4400000000005</v>
      </c>
      <c r="I328" s="42">
        <f t="shared" si="17"/>
        <v>5771.69</v>
      </c>
      <c r="J328" s="42">
        <f t="shared" si="17"/>
        <v>1200.69</v>
      </c>
      <c r="K328" s="42">
        <f t="shared" si="17"/>
        <v>0</v>
      </c>
      <c r="L328" s="41">
        <f t="shared" si="17"/>
        <v>152229.91000000003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597314.85</v>
      </c>
      <c r="G338" s="41">
        <f t="shared" si="20"/>
        <v>190396.52</v>
      </c>
      <c r="H338" s="41">
        <f t="shared" si="20"/>
        <v>85323.34</v>
      </c>
      <c r="I338" s="41">
        <f t="shared" si="20"/>
        <v>21368.48</v>
      </c>
      <c r="J338" s="41">
        <f t="shared" si="20"/>
        <v>30740.219999999998</v>
      </c>
      <c r="K338" s="41">
        <f t="shared" si="20"/>
        <v>0</v>
      </c>
      <c r="L338" s="41">
        <f t="shared" si="20"/>
        <v>925143.41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32432.5</f>
        <v>32432.5</v>
      </c>
      <c r="L344" s="19">
        <f t="shared" ref="L344:L350" si="21">SUM(F344:K344)</f>
        <v>32432.5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32432.5</v>
      </c>
      <c r="L351" s="41">
        <f>SUM(L341:L350)</f>
        <v>32432.5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597314.85</v>
      </c>
      <c r="G352" s="41">
        <f>G338</f>
        <v>190396.52</v>
      </c>
      <c r="H352" s="41">
        <f>H338</f>
        <v>85323.34</v>
      </c>
      <c r="I352" s="41">
        <f>I338</f>
        <v>21368.48</v>
      </c>
      <c r="J352" s="41">
        <f>J338</f>
        <v>30740.219999999998</v>
      </c>
      <c r="K352" s="47">
        <f>K338+K351</f>
        <v>32432.5</v>
      </c>
      <c r="L352" s="41">
        <f>L338+L351</f>
        <v>957575.91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77279.2</f>
        <v>77279.199999999997</v>
      </c>
      <c r="G358" s="18">
        <f>27267.24</f>
        <v>27267.24</v>
      </c>
      <c r="H358" s="18">
        <f>3753.29</f>
        <v>3753.29</v>
      </c>
      <c r="I358" s="18">
        <f>4207.65+57512.95</f>
        <v>61720.6</v>
      </c>
      <c r="J358" s="18">
        <f>911.52</f>
        <v>911.52</v>
      </c>
      <c r="K358" s="18">
        <f>319.78</f>
        <v>319.77999999999997</v>
      </c>
      <c r="L358" s="13">
        <f>SUM(F358:K358)</f>
        <v>171251.62999999998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69259.71</f>
        <v>69259.710000000006</v>
      </c>
      <c r="G359" s="18">
        <f>28084.91</f>
        <v>28084.91</v>
      </c>
      <c r="H359" s="18">
        <f>2621.12</f>
        <v>2621.12</v>
      </c>
      <c r="I359" s="18">
        <f>5221.75+53672.7</f>
        <v>58894.45</v>
      </c>
      <c r="J359" s="18">
        <f>2300.17</f>
        <v>2300.17</v>
      </c>
      <c r="K359" s="18">
        <f>257.33</f>
        <v>257.33</v>
      </c>
      <c r="L359" s="19">
        <f>SUM(F359:K359)</f>
        <v>161417.69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84963.27</f>
        <v>84963.27</v>
      </c>
      <c r="G360" s="18">
        <f>21569.21</f>
        <v>21569.21</v>
      </c>
      <c r="H360" s="18">
        <f>4705.61</f>
        <v>4705.6099999999997</v>
      </c>
      <c r="I360" s="18">
        <f>5608.69+73864.02</f>
        <v>79472.710000000006</v>
      </c>
      <c r="J360" s="18">
        <f>3470.45</f>
        <v>3470.45</v>
      </c>
      <c r="K360" s="18">
        <f>280.54</f>
        <v>280.54000000000002</v>
      </c>
      <c r="L360" s="19">
        <f>SUM(F360:K360)</f>
        <v>194461.79000000004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231502.18</v>
      </c>
      <c r="G362" s="47">
        <f t="shared" si="22"/>
        <v>76921.36</v>
      </c>
      <c r="H362" s="47">
        <f t="shared" si="22"/>
        <v>11080.02</v>
      </c>
      <c r="I362" s="47">
        <f t="shared" si="22"/>
        <v>200087.76</v>
      </c>
      <c r="J362" s="47">
        <f t="shared" si="22"/>
        <v>6682.1399999999994</v>
      </c>
      <c r="K362" s="47">
        <f t="shared" si="22"/>
        <v>857.64999999999986</v>
      </c>
      <c r="L362" s="47">
        <f t="shared" si="22"/>
        <v>527131.11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57512.95</v>
      </c>
      <c r="G367" s="18">
        <v>53672.7</v>
      </c>
      <c r="H367" s="18">
        <v>73864.02</v>
      </c>
      <c r="I367" s="56">
        <f>SUM(F367:H367)</f>
        <v>185049.66999999998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4207.6499999999996</v>
      </c>
      <c r="G368" s="63">
        <v>5221.75</v>
      </c>
      <c r="H368" s="63">
        <v>5608.69</v>
      </c>
      <c r="I368" s="56">
        <f>SUM(F368:H368)</f>
        <v>15038.09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61720.6</v>
      </c>
      <c r="G369" s="47">
        <f>SUM(G367:G368)</f>
        <v>58894.45</v>
      </c>
      <c r="H369" s="47">
        <f>SUM(H367:H368)</f>
        <v>79472.710000000006</v>
      </c>
      <c r="I369" s="47">
        <f>SUM(I367:I368)</f>
        <v>200087.75999999998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170000</v>
      </c>
      <c r="H396" s="18">
        <v>1990.15</v>
      </c>
      <c r="I396" s="18"/>
      <c r="J396" s="24" t="s">
        <v>289</v>
      </c>
      <c r="K396" s="24" t="s">
        <v>289</v>
      </c>
      <c r="L396" s="56">
        <f t="shared" si="26"/>
        <v>171990.15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1011.7</v>
      </c>
      <c r="I397" s="18"/>
      <c r="J397" s="24" t="s">
        <v>289</v>
      </c>
      <c r="K397" s="24" t="s">
        <v>289</v>
      </c>
      <c r="L397" s="56">
        <f t="shared" si="26"/>
        <v>1011.7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15000</v>
      </c>
      <c r="H399" s="18">
        <v>547.57000000000005</v>
      </c>
      <c r="I399" s="18"/>
      <c r="J399" s="24" t="s">
        <v>289</v>
      </c>
      <c r="K399" s="24" t="s">
        <v>289</v>
      </c>
      <c r="L399" s="56">
        <f t="shared" si="26"/>
        <v>15547.57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10000</v>
      </c>
      <c r="H400" s="18">
        <f>102+59.19</f>
        <v>161.19</v>
      </c>
      <c r="I400" s="18"/>
      <c r="J400" s="24" t="s">
        <v>289</v>
      </c>
      <c r="K400" s="24" t="s">
        <v>289</v>
      </c>
      <c r="L400" s="56">
        <f t="shared" si="26"/>
        <v>10161.19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195000</v>
      </c>
      <c r="H401" s="47">
        <f>SUM(H395:H400)</f>
        <v>3710.6100000000006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198710.61000000002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916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491.72</v>
      </c>
      <c r="I403" s="18"/>
      <c r="J403" s="24" t="s">
        <v>289</v>
      </c>
      <c r="K403" s="24" t="s">
        <v>289</v>
      </c>
      <c r="L403" s="56">
        <f>SUM(F403:K403)</f>
        <v>491.72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491.72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491.72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195000</v>
      </c>
      <c r="H408" s="47">
        <f>H393+H401+H407</f>
        <v>4202.3300000000008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199202.33000000002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>
        <v>216610.19</v>
      </c>
      <c r="K422" s="18"/>
      <c r="L422" s="56">
        <f t="shared" si="29"/>
        <v>216610.19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>
        <v>14900</v>
      </c>
      <c r="K425" s="18"/>
      <c r="L425" s="56">
        <f t="shared" si="29"/>
        <v>14900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>
        <v>21817.35</v>
      </c>
      <c r="K426" s="18"/>
      <c r="L426" s="56">
        <f t="shared" si="29"/>
        <v>21817.35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253327.54</v>
      </c>
      <c r="K427" s="47">
        <f t="shared" si="30"/>
        <v>0</v>
      </c>
      <c r="L427" s="47">
        <f t="shared" si="30"/>
        <v>253327.54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916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2100</v>
      </c>
      <c r="I429" s="18"/>
      <c r="J429" s="18"/>
      <c r="K429" s="18"/>
      <c r="L429" s="56">
        <f>SUM(F429:K429)</f>
        <v>2100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2100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2100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2100</v>
      </c>
      <c r="I434" s="47">
        <f t="shared" si="32"/>
        <v>0</v>
      </c>
      <c r="J434" s="47">
        <f t="shared" si="32"/>
        <v>253327.54</v>
      </c>
      <c r="K434" s="47">
        <f t="shared" si="32"/>
        <v>0</v>
      </c>
      <c r="L434" s="47">
        <f t="shared" si="32"/>
        <v>255427.54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409309.2+177135.91</f>
        <v>586445.11</v>
      </c>
      <c r="H439" s="18">
        <f>77505.8</f>
        <v>77505.8</v>
      </c>
      <c r="I439" s="56">
        <f t="shared" ref="I439:I445" si="33">SUM(F439:H439)</f>
        <v>663950.91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586445.11</v>
      </c>
      <c r="H446" s="13">
        <f>SUM(H439:H445)</f>
        <v>77505.8</v>
      </c>
      <c r="I446" s="13">
        <f>SUM(I439:I445)</f>
        <v>663950.91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409309.2+177135.91</f>
        <v>586445.11</v>
      </c>
      <c r="H459" s="18">
        <f>77505.8</f>
        <v>77505.8</v>
      </c>
      <c r="I459" s="56">
        <f t="shared" si="34"/>
        <v>663950.91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586445.11</v>
      </c>
      <c r="H460" s="83">
        <f>SUM(H454:H459)</f>
        <v>77505.8</v>
      </c>
      <c r="I460" s="83">
        <f>SUM(I454:I459)</f>
        <v>663950.91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586445.11</v>
      </c>
      <c r="H461" s="42">
        <f>H452+H460</f>
        <v>77505.8</v>
      </c>
      <c r="I461" s="42">
        <f>I452+I460</f>
        <v>663950.91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254465.6</v>
      </c>
      <c r="G465" s="18">
        <v>0</v>
      </c>
      <c r="H465" s="18">
        <v>0</v>
      </c>
      <c r="I465" s="18">
        <v>0</v>
      </c>
      <c r="J465" s="18">
        <v>720176.12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20725672.16</v>
      </c>
      <c r="G468" s="18">
        <v>527131.11</v>
      </c>
      <c r="H468" s="18">
        <v>957575.91</v>
      </c>
      <c r="I468" s="18"/>
      <c r="J468" s="18">
        <f>195000+4202.33</f>
        <v>199202.33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20725672.16</v>
      </c>
      <c r="G470" s="53">
        <f>SUM(G468:G469)</f>
        <v>527131.11</v>
      </c>
      <c r="H470" s="53">
        <f>SUM(H468:H469)</f>
        <v>957575.91</v>
      </c>
      <c r="I470" s="53">
        <f>SUM(I468:I469)</f>
        <v>0</v>
      </c>
      <c r="J470" s="53">
        <f>SUM(J468:J469)</f>
        <v>199202.33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20444886.960000001</v>
      </c>
      <c r="G472" s="18">
        <v>527131.11</v>
      </c>
      <c r="H472" s="18">
        <v>957575.91</v>
      </c>
      <c r="I472" s="18"/>
      <c r="J472" s="18">
        <v>255427.54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20444886.960000001</v>
      </c>
      <c r="G474" s="53">
        <f>SUM(G472:G473)</f>
        <v>527131.11</v>
      </c>
      <c r="H474" s="53">
        <f>SUM(H472:H473)</f>
        <v>957575.91</v>
      </c>
      <c r="I474" s="53">
        <f>SUM(I472:I473)</f>
        <v>0</v>
      </c>
      <c r="J474" s="53">
        <f>SUM(J472:J473)</f>
        <v>255427.54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535250.80000000075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663950.90999999992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13402490</v>
      </c>
      <c r="G493" s="18">
        <v>246250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4.13</v>
      </c>
      <c r="G494" s="18">
        <v>4.3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7121269.1699999999</v>
      </c>
      <c r="G495" s="18">
        <v>24625</v>
      </c>
      <c r="H495" s="18"/>
      <c r="I495" s="18"/>
      <c r="J495" s="18"/>
      <c r="K495" s="53">
        <f>SUM(F495:J495)</f>
        <v>7145894.1699999999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560358.45+145471.31</f>
        <v>705829.76</v>
      </c>
      <c r="G497" s="18">
        <v>24625</v>
      </c>
      <c r="H497" s="18"/>
      <c r="I497" s="18"/>
      <c r="J497" s="18"/>
      <c r="K497" s="53">
        <f t="shared" si="35"/>
        <v>730454.76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F495+F496-F497</f>
        <v>6415439.4100000001</v>
      </c>
      <c r="G498" s="204">
        <f>G495+G496-G497</f>
        <v>0</v>
      </c>
      <c r="H498" s="204"/>
      <c r="I498" s="204"/>
      <c r="J498" s="204"/>
      <c r="K498" s="205">
        <f t="shared" si="35"/>
        <v>6415439.4100000001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5362702.59</v>
      </c>
      <c r="G499" s="18">
        <v>0</v>
      </c>
      <c r="H499" s="18"/>
      <c r="I499" s="18"/>
      <c r="J499" s="18"/>
      <c r="K499" s="53">
        <f t="shared" si="35"/>
        <v>5362702.59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11778142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11778142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f>546404.13+129258.33</f>
        <v>675662.46</v>
      </c>
      <c r="G501" s="204">
        <v>0</v>
      </c>
      <c r="H501" s="204"/>
      <c r="I501" s="204"/>
      <c r="J501" s="204"/>
      <c r="K501" s="205">
        <f t="shared" si="35"/>
        <v>675662.46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326075.53999999998</v>
      </c>
      <c r="G502" s="18">
        <v>0</v>
      </c>
      <c r="H502" s="18"/>
      <c r="I502" s="18"/>
      <c r="J502" s="18"/>
      <c r="K502" s="53">
        <f t="shared" si="35"/>
        <v>326075.53999999998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1001738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1001738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679271.02+45173.79</f>
        <v>724444.81</v>
      </c>
      <c r="G521" s="18">
        <f>395705.26+14442.45</f>
        <v>410147.71</v>
      </c>
      <c r="H521" s="18">
        <f>154854.88+96645.88</f>
        <v>251500.76</v>
      </c>
      <c r="I521" s="18">
        <f>1882.28+961.11</f>
        <v>2843.39</v>
      </c>
      <c r="J521" s="18">
        <f>2220.29</f>
        <v>2220.29</v>
      </c>
      <c r="K521" s="18">
        <f>9055.97</f>
        <v>9055.9699999999993</v>
      </c>
      <c r="L521" s="88">
        <f>SUM(F521:K521)</f>
        <v>1400212.93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532491.14+36352.24</f>
        <v>568843.38</v>
      </c>
      <c r="G522" s="18">
        <f>394459.91+11622.12</f>
        <v>406082.02999999997</v>
      </c>
      <c r="H522" s="18">
        <f>289583.88+77772.83</f>
        <v>367356.71</v>
      </c>
      <c r="I522" s="18">
        <f>1981.99+773.43</f>
        <v>2755.42</v>
      </c>
      <c r="J522" s="18">
        <f>509.35</f>
        <v>509.35</v>
      </c>
      <c r="K522" s="18">
        <f>7287.52</f>
        <v>7287.52</v>
      </c>
      <c r="L522" s="88">
        <f>SUM(F522:K522)</f>
        <v>1352834.41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462210.59+39630.15</f>
        <v>501840.74000000005</v>
      </c>
      <c r="G523" s="18">
        <f>296197.18+12670.1</f>
        <v>308867.27999999997</v>
      </c>
      <c r="H523" s="18">
        <f>557822.5+84785.67</f>
        <v>642608.17000000004</v>
      </c>
      <c r="I523" s="18">
        <f>1134.56+843.17</f>
        <v>1977.73</v>
      </c>
      <c r="J523" s="18">
        <f>455.61</f>
        <v>455.61</v>
      </c>
      <c r="K523" s="18">
        <f>7944.64</f>
        <v>7944.64</v>
      </c>
      <c r="L523" s="88">
        <f>SUM(F523:K523)</f>
        <v>1463694.17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1795128.93</v>
      </c>
      <c r="G524" s="108">
        <f t="shared" ref="G524:L524" si="36">SUM(G521:G523)</f>
        <v>1125097.02</v>
      </c>
      <c r="H524" s="108">
        <f t="shared" si="36"/>
        <v>1261465.6400000001</v>
      </c>
      <c r="I524" s="108">
        <f t="shared" si="36"/>
        <v>7576.5399999999991</v>
      </c>
      <c r="J524" s="108">
        <f t="shared" si="36"/>
        <v>3185.25</v>
      </c>
      <c r="K524" s="108">
        <f t="shared" si="36"/>
        <v>24288.13</v>
      </c>
      <c r="L524" s="89">
        <f t="shared" si="36"/>
        <v>4216741.51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50179.14+34466.75+43053.77+4579.93+55792.44+4557.57+12409.34+2000</f>
        <v>207038.94</v>
      </c>
      <c r="G526" s="18">
        <f>49281.29+17054.94+29853.29+3178.39+14376.98+1105.8+6080.81+348.45</f>
        <v>121279.94999999998</v>
      </c>
      <c r="H526" s="18">
        <f>88.27</f>
        <v>88.27</v>
      </c>
      <c r="I526" s="18">
        <f>1509.36+96.07</f>
        <v>1605.4299999999998</v>
      </c>
      <c r="J526" s="18">
        <f>1200.69</f>
        <v>1200.69</v>
      </c>
      <c r="K526" s="18">
        <f>6448.1</f>
        <v>6448.1</v>
      </c>
      <c r="L526" s="88">
        <f>SUM(F526:K526)</f>
        <v>337661.38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55757+27736.07+11393.93+12409.33+2000</f>
        <v>109296.33</v>
      </c>
      <c r="G527" s="18">
        <f>21412.6+13724.44+2764.5+6080.82+348.45</f>
        <v>44330.81</v>
      </c>
      <c r="H527" s="18">
        <f>71.03</f>
        <v>71.03</v>
      </c>
      <c r="I527" s="18">
        <f>1214.61+77.31</f>
        <v>1291.9199999999998</v>
      </c>
      <c r="J527" s="18">
        <f>1200.69</f>
        <v>1200.69</v>
      </c>
      <c r="K527" s="18">
        <f>1307.32</f>
        <v>1307.32</v>
      </c>
      <c r="L527" s="88">
        <f>SUM(F527:K527)</f>
        <v>157498.10000000003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39402+30237.05+39402+15951.5+12409.33</f>
        <v>137401.88</v>
      </c>
      <c r="G528" s="18">
        <f>30348.77+14961.99+31148.6+3870.31+6080.81</f>
        <v>86410.48</v>
      </c>
      <c r="H528" s="18">
        <f>77.44</f>
        <v>77.44</v>
      </c>
      <c r="I528" s="18">
        <f>1324.14+84.28</f>
        <v>1408.42</v>
      </c>
      <c r="J528" s="18">
        <f>1200.69</f>
        <v>1200.69</v>
      </c>
      <c r="K528" s="18">
        <f>3975.06</f>
        <v>3975.06</v>
      </c>
      <c r="L528" s="88">
        <f>SUM(F528:K528)</f>
        <v>230473.97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453737.15</v>
      </c>
      <c r="G529" s="89">
        <f t="shared" ref="G529:L529" si="37">SUM(G526:G528)</f>
        <v>252021.24</v>
      </c>
      <c r="H529" s="89">
        <f t="shared" si="37"/>
        <v>236.74</v>
      </c>
      <c r="I529" s="89">
        <f t="shared" si="37"/>
        <v>4305.7699999999995</v>
      </c>
      <c r="J529" s="89">
        <f t="shared" si="37"/>
        <v>3602.07</v>
      </c>
      <c r="K529" s="89">
        <f t="shared" si="37"/>
        <v>11730.48</v>
      </c>
      <c r="L529" s="89">
        <f t="shared" si="37"/>
        <v>725633.45000000007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41149.06</f>
        <v>41149.06</v>
      </c>
      <c r="G531" s="18">
        <f>22101.3</f>
        <v>22101.3</v>
      </c>
      <c r="H531" s="18">
        <f>353.66</f>
        <v>353.66</v>
      </c>
      <c r="I531" s="18"/>
      <c r="J531" s="18"/>
      <c r="K531" s="18">
        <f>178.6</f>
        <v>178.6</v>
      </c>
      <c r="L531" s="88">
        <f>SUM(F531:K531)</f>
        <v>63782.62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33113.46</f>
        <v>33113.46</v>
      </c>
      <c r="G532" s="18">
        <f>17785.35</f>
        <v>17785.349999999999</v>
      </c>
      <c r="H532" s="18">
        <f>284.6</f>
        <v>284.60000000000002</v>
      </c>
      <c r="I532" s="18"/>
      <c r="J532" s="18"/>
      <c r="K532" s="18">
        <f>143.72</f>
        <v>143.72</v>
      </c>
      <c r="L532" s="88">
        <f>SUM(F532:K532)</f>
        <v>51327.13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36099.32</f>
        <v>36099.32</v>
      </c>
      <c r="G533" s="18">
        <f>19389.08</f>
        <v>19389.080000000002</v>
      </c>
      <c r="H533" s="18">
        <f>310.26</f>
        <v>310.26</v>
      </c>
      <c r="I533" s="18"/>
      <c r="J533" s="18"/>
      <c r="K533" s="18">
        <f>156.68</f>
        <v>156.68</v>
      </c>
      <c r="L533" s="88">
        <f>SUM(F533:K533)</f>
        <v>55955.340000000004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110361.84</v>
      </c>
      <c r="G534" s="89">
        <f t="shared" ref="G534:L534" si="38">SUM(G531:G533)</f>
        <v>59275.729999999996</v>
      </c>
      <c r="H534" s="89">
        <f t="shared" si="38"/>
        <v>948.52</v>
      </c>
      <c r="I534" s="89">
        <f t="shared" si="38"/>
        <v>0</v>
      </c>
      <c r="J534" s="89">
        <f t="shared" si="38"/>
        <v>0</v>
      </c>
      <c r="K534" s="89">
        <f t="shared" si="38"/>
        <v>479</v>
      </c>
      <c r="L534" s="89">
        <f t="shared" si="38"/>
        <v>171065.09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5492.47</v>
      </c>
      <c r="I536" s="18"/>
      <c r="J536" s="18"/>
      <c r="K536" s="18"/>
      <c r="L536" s="88">
        <f>SUM(F536:K536)</f>
        <v>5492.47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4419.8900000000003</v>
      </c>
      <c r="I537" s="18"/>
      <c r="J537" s="18"/>
      <c r="K537" s="18"/>
      <c r="L537" s="88">
        <f>SUM(F537:K537)</f>
        <v>4419.8900000000003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4818.4399999999996</v>
      </c>
      <c r="I538" s="18"/>
      <c r="J538" s="18"/>
      <c r="K538" s="18"/>
      <c r="L538" s="88">
        <f>SUM(F538:K538)</f>
        <v>4818.4399999999996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14730.8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14730.8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36998.64+33300+3330</f>
        <v>73628.639999999999</v>
      </c>
      <c r="I541" s="18"/>
      <c r="J541" s="18"/>
      <c r="K541" s="18"/>
      <c r="L541" s="88">
        <f>SUM(F541:K541)</f>
        <v>73628.639999999999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92496.6+33300+3330</f>
        <v>129126.6</v>
      </c>
      <c r="I542" s="18"/>
      <c r="J542" s="18"/>
      <c r="K542" s="18"/>
      <c r="L542" s="88">
        <f>SUM(F542:K542)</f>
        <v>129126.6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129495.23+33300+3330</f>
        <v>166125.22999999998</v>
      </c>
      <c r="I543" s="18"/>
      <c r="J543" s="18"/>
      <c r="K543" s="18"/>
      <c r="L543" s="88">
        <f>SUM(F543:K543)</f>
        <v>166125.22999999998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368880.47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368880.47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2359227.92</v>
      </c>
      <c r="G545" s="89">
        <f t="shared" ref="G545:L545" si="41">G524+G529+G534+G539+G544</f>
        <v>1436393.99</v>
      </c>
      <c r="H545" s="89">
        <f t="shared" si="41"/>
        <v>1646262.1700000002</v>
      </c>
      <c r="I545" s="89">
        <f t="shared" si="41"/>
        <v>11882.309999999998</v>
      </c>
      <c r="J545" s="89">
        <f t="shared" si="41"/>
        <v>6787.32</v>
      </c>
      <c r="K545" s="89">
        <f t="shared" si="41"/>
        <v>36497.61</v>
      </c>
      <c r="L545" s="89">
        <f t="shared" si="41"/>
        <v>5497051.3199999994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1400212.93</v>
      </c>
      <c r="G549" s="87">
        <f>L526</f>
        <v>337661.38</v>
      </c>
      <c r="H549" s="87">
        <f>L531</f>
        <v>63782.62</v>
      </c>
      <c r="I549" s="87">
        <f>L536</f>
        <v>5492.47</v>
      </c>
      <c r="J549" s="87">
        <f>L541</f>
        <v>73628.639999999999</v>
      </c>
      <c r="K549" s="87">
        <f>SUM(F549:J549)</f>
        <v>1880778.04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1352834.41</v>
      </c>
      <c r="G550" s="87">
        <f>L527</f>
        <v>157498.10000000003</v>
      </c>
      <c r="H550" s="87">
        <f>L532</f>
        <v>51327.13</v>
      </c>
      <c r="I550" s="87">
        <f>L537</f>
        <v>4419.8900000000003</v>
      </c>
      <c r="J550" s="87">
        <f>L542</f>
        <v>129126.6</v>
      </c>
      <c r="K550" s="87">
        <f>SUM(F550:J550)</f>
        <v>1695206.13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1463694.17</v>
      </c>
      <c r="G551" s="87">
        <f>L528</f>
        <v>230473.97</v>
      </c>
      <c r="H551" s="87">
        <f>L533</f>
        <v>55955.340000000004</v>
      </c>
      <c r="I551" s="87">
        <f>L538</f>
        <v>4818.4399999999996</v>
      </c>
      <c r="J551" s="87">
        <f>L543</f>
        <v>166125.22999999998</v>
      </c>
      <c r="K551" s="87">
        <f>SUM(F551:J551)</f>
        <v>1921067.15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4216741.51</v>
      </c>
      <c r="G552" s="89">
        <f t="shared" si="42"/>
        <v>725633.45000000007</v>
      </c>
      <c r="H552" s="89">
        <f t="shared" si="42"/>
        <v>171065.09</v>
      </c>
      <c r="I552" s="89">
        <f t="shared" si="42"/>
        <v>14730.8</v>
      </c>
      <c r="J552" s="89">
        <f t="shared" si="42"/>
        <v>368880.47</v>
      </c>
      <c r="K552" s="89">
        <f t="shared" si="42"/>
        <v>5497051.3200000003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18242.66</f>
        <v>18242.66</v>
      </c>
      <c r="G562" s="18">
        <f>4198.49</f>
        <v>4198.49</v>
      </c>
      <c r="H562" s="18"/>
      <c r="I562" s="18">
        <f>149.62</f>
        <v>149.62</v>
      </c>
      <c r="J562" s="18"/>
      <c r="K562" s="18"/>
      <c r="L562" s="88">
        <f>SUM(F562:K562)</f>
        <v>22590.77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14680.23</f>
        <v>14680.23</v>
      </c>
      <c r="G563" s="18">
        <f>3378.61</f>
        <v>3378.61</v>
      </c>
      <c r="H563" s="18"/>
      <c r="I563" s="18">
        <f>120.4</f>
        <v>120.4</v>
      </c>
      <c r="J563" s="18"/>
      <c r="K563" s="18"/>
      <c r="L563" s="88">
        <f>SUM(F563:K563)</f>
        <v>18179.240000000002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16003.96</f>
        <v>16003.96</v>
      </c>
      <c r="G564" s="18">
        <f>3683.25</f>
        <v>3683.25</v>
      </c>
      <c r="H564" s="18"/>
      <c r="I564" s="18">
        <f>131.26</f>
        <v>131.26</v>
      </c>
      <c r="J564" s="18"/>
      <c r="K564" s="18"/>
      <c r="L564" s="88">
        <f>SUM(F564:K564)</f>
        <v>19818.469999999998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48926.85</v>
      </c>
      <c r="G565" s="89">
        <f t="shared" si="44"/>
        <v>11260.35</v>
      </c>
      <c r="H565" s="89">
        <f t="shared" si="44"/>
        <v>0</v>
      </c>
      <c r="I565" s="89">
        <f t="shared" si="44"/>
        <v>401.28</v>
      </c>
      <c r="J565" s="89">
        <f t="shared" si="44"/>
        <v>0</v>
      </c>
      <c r="K565" s="89">
        <f t="shared" si="44"/>
        <v>0</v>
      </c>
      <c r="L565" s="89">
        <f t="shared" si="44"/>
        <v>60588.479999999996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48926.85</v>
      </c>
      <c r="G571" s="89">
        <f t="shared" ref="G571:L571" si="46">G560+G565+G570</f>
        <v>11260.35</v>
      </c>
      <c r="H571" s="89">
        <f t="shared" si="46"/>
        <v>0</v>
      </c>
      <c r="I571" s="89">
        <f t="shared" si="46"/>
        <v>401.28</v>
      </c>
      <c r="J571" s="89">
        <f t="shared" si="46"/>
        <v>0</v>
      </c>
      <c r="K571" s="89">
        <f t="shared" si="46"/>
        <v>0</v>
      </c>
      <c r="L571" s="89">
        <f t="shared" si="46"/>
        <v>60588.479999999996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1000</v>
      </c>
      <c r="I575" s="87">
        <f>SUM(F575:H575)</f>
        <v>1000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28495.119999999999</v>
      </c>
      <c r="I579" s="87">
        <f t="shared" si="47"/>
        <v>28495.119999999999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78000</v>
      </c>
      <c r="G582" s="18">
        <v>289583.88</v>
      </c>
      <c r="H582" s="18">
        <v>247855.4</v>
      </c>
      <c r="I582" s="87">
        <f t="shared" si="47"/>
        <v>615439.28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76854.880000000005</v>
      </c>
      <c r="G583" s="18"/>
      <c r="H583" s="18">
        <v>280471.98</v>
      </c>
      <c r="I583" s="87">
        <f t="shared" si="47"/>
        <v>357326.86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173937.5</v>
      </c>
      <c r="I584" s="87">
        <f t="shared" si="47"/>
        <v>173937.5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147386.4</v>
      </c>
      <c r="I591" s="18">
        <v>128963.1</v>
      </c>
      <c r="J591" s="18">
        <f>155989.8-45450</f>
        <v>110539.79999999999</v>
      </c>
      <c r="K591" s="104">
        <f t="shared" ref="K591:K597" si="48">SUM(H591:J591)</f>
        <v>386889.3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36998.64+33300+3330</f>
        <v>73628.639999999999</v>
      </c>
      <c r="I592" s="18">
        <f>92496.6+33300+3330</f>
        <v>129126.6</v>
      </c>
      <c r="J592" s="18">
        <f>129495.23+33300+3330</f>
        <v>166125.22999999998</v>
      </c>
      <c r="K592" s="104">
        <f t="shared" si="48"/>
        <v>368880.47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45450</v>
      </c>
      <c r="K593" s="104">
        <f t="shared" si="48"/>
        <v>45450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5599.87</v>
      </c>
      <c r="J594" s="18">
        <v>27346.34</v>
      </c>
      <c r="K594" s="104">
        <f t="shared" si="48"/>
        <v>32946.21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1789.55</v>
      </c>
      <c r="I595" s="18">
        <v>1489.12</v>
      </c>
      <c r="J595" s="18">
        <v>1887.14</v>
      </c>
      <c r="K595" s="104">
        <f t="shared" si="48"/>
        <v>5165.8100000000004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222804.58999999997</v>
      </c>
      <c r="I598" s="108">
        <f>SUM(I591:I597)</f>
        <v>265178.69</v>
      </c>
      <c r="J598" s="108">
        <f>SUM(J591:J597)</f>
        <v>351348.51</v>
      </c>
      <c r="K598" s="108">
        <f>SUM(K591:K597)</f>
        <v>839331.79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10885.95+2026.57+1200.69+14869.05</f>
        <v>28982.260000000002</v>
      </c>
      <c r="I604" s="18">
        <f>21489.23+1630.82+1200.69+12269.1</f>
        <v>36589.839999999997</v>
      </c>
      <c r="J604" s="18">
        <f>26769.99+1777.88+1200.69</f>
        <v>29748.560000000001</v>
      </c>
      <c r="K604" s="104">
        <f>SUM(H604:J604)</f>
        <v>95320.66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28982.260000000002</v>
      </c>
      <c r="I605" s="108">
        <f>SUM(I602:I604)</f>
        <v>36589.839999999997</v>
      </c>
      <c r="J605" s="108">
        <f>SUM(J602:J604)</f>
        <v>29748.560000000001</v>
      </c>
      <c r="K605" s="108">
        <f>SUM(K602:K604)</f>
        <v>95320.66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2440</v>
      </c>
      <c r="G612" s="18">
        <v>532.16</v>
      </c>
      <c r="H612" s="18"/>
      <c r="I612" s="18"/>
      <c r="J612" s="18"/>
      <c r="K612" s="18"/>
      <c r="L612" s="88">
        <f>SUM(F612:K612)</f>
        <v>2972.16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7600</v>
      </c>
      <c r="G613" s="18">
        <v>1156.42</v>
      </c>
      <c r="H613" s="18"/>
      <c r="I613" s="18"/>
      <c r="J613" s="18"/>
      <c r="K613" s="18"/>
      <c r="L613" s="88">
        <f>SUM(F613:K613)</f>
        <v>8756.42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10040</v>
      </c>
      <c r="G614" s="108">
        <f t="shared" si="49"/>
        <v>1688.58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11728.58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1387786.6800000002</v>
      </c>
      <c r="H617" s="109">
        <f>SUM(F52)</f>
        <v>1387786.6800000002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16157.22</v>
      </c>
      <c r="H618" s="109">
        <f>SUM(G52)</f>
        <v>16157.22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110349.61</v>
      </c>
      <c r="H619" s="109">
        <f>SUM(H52)</f>
        <v>110349.61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663950.91</v>
      </c>
      <c r="H621" s="109">
        <f>SUM(J52)</f>
        <v>663950.91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535250.80000000005</v>
      </c>
      <c r="H622" s="109">
        <f>F476</f>
        <v>535250.80000000075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663950.91</v>
      </c>
      <c r="H626" s="109">
        <f>J476</f>
        <v>663950.90999999992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20725672.16</v>
      </c>
      <c r="H627" s="104">
        <f>SUM(F468)</f>
        <v>20725672.16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527131.11</v>
      </c>
      <c r="H628" s="104">
        <f>SUM(G468)</f>
        <v>527131.11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957575.90999999992</v>
      </c>
      <c r="H629" s="104">
        <f>SUM(H468)</f>
        <v>957575.91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199202.33</v>
      </c>
      <c r="H631" s="104">
        <f>SUM(J468)</f>
        <v>199202.33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20444886.960000001</v>
      </c>
      <c r="H632" s="104">
        <f>SUM(F472)</f>
        <v>20444886.960000001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957575.91</v>
      </c>
      <c r="H633" s="104">
        <f>SUM(H472)</f>
        <v>957575.91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200087.76</v>
      </c>
      <c r="H634" s="104">
        <f>I369</f>
        <v>200087.75999999998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527131.11</v>
      </c>
      <c r="H635" s="104">
        <f>SUM(G472)</f>
        <v>527131.11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199202.33000000002</v>
      </c>
      <c r="H637" s="164">
        <f>SUM(J468)</f>
        <v>199202.33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255427.54</v>
      </c>
      <c r="H638" s="164">
        <f>SUM(J472)</f>
        <v>255427.54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586445.11</v>
      </c>
      <c r="H640" s="104">
        <f>SUM(G461)</f>
        <v>586445.11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77505.8</v>
      </c>
      <c r="H641" s="104">
        <f>SUM(H461)</f>
        <v>77505.8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663950.91</v>
      </c>
      <c r="H642" s="104">
        <f>SUM(I461)</f>
        <v>663950.91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4202.33</v>
      </c>
      <c r="H644" s="104">
        <f>H408</f>
        <v>4202.3300000000008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195000</v>
      </c>
      <c r="H645" s="104">
        <f>G408</f>
        <v>195000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199202.33</v>
      </c>
      <c r="H646" s="104">
        <f>L408</f>
        <v>199202.33000000002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839331.79</v>
      </c>
      <c r="H647" s="104">
        <f>L208+L226+L244</f>
        <v>839331.79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95320.66</v>
      </c>
      <c r="H648" s="104">
        <f>(J257+J338)-(J255+J336)</f>
        <v>95320.66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222804.58999999997</v>
      </c>
      <c r="H649" s="104">
        <f>H598</f>
        <v>222804.58999999997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265178.69</v>
      </c>
      <c r="H650" s="104">
        <f>I598</f>
        <v>265178.69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351348.51</v>
      </c>
      <c r="H651" s="104">
        <f>J598</f>
        <v>351348.51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7376.02</v>
      </c>
      <c r="H652" s="104">
        <f>K263+K345</f>
        <v>7376.02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195000</v>
      </c>
      <c r="H655" s="104">
        <f>K266+K347</f>
        <v>195000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6847731.8299999982</v>
      </c>
      <c r="G660" s="19">
        <f>(L229+L309+L359)</f>
        <v>6624266.5400000028</v>
      </c>
      <c r="H660" s="19">
        <f>(L247+L328+L360)</f>
        <v>7174802.1299999999</v>
      </c>
      <c r="I660" s="19">
        <f>SUM(F660:H660)</f>
        <v>20646800.5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94890.307901296314</v>
      </c>
      <c r="G661" s="19">
        <f>(L359/IF(SUM(L358:L360)=0,1,SUM(L358:L360))*(SUM(G97:G110)))</f>
        <v>89441.334396735372</v>
      </c>
      <c r="H661" s="19">
        <f>(L360/IF(SUM(L358:L360)=0,1,SUM(L358:L360))*(SUM(G97:G110)))</f>
        <v>107751.02770196831</v>
      </c>
      <c r="I661" s="19">
        <f>SUM(F661:H661)</f>
        <v>292082.67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231753.96999999997</v>
      </c>
      <c r="G662" s="19">
        <f>(L226+L306)-(J226+J306)</f>
        <v>270434.67</v>
      </c>
      <c r="H662" s="19">
        <f>(L244+L325)-(J244+J325)</f>
        <v>351348.51</v>
      </c>
      <c r="I662" s="19">
        <f>SUM(F662:H662)</f>
        <v>853537.14999999991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183837.14</v>
      </c>
      <c r="G663" s="199">
        <f>SUM(G575:G587)+SUM(I602:I604)+L612</f>
        <v>329145.87999999995</v>
      </c>
      <c r="H663" s="199">
        <f>SUM(H575:H587)+SUM(J602:J604)+L613</f>
        <v>770264.9800000001</v>
      </c>
      <c r="I663" s="19">
        <f>SUM(F663:H663)</f>
        <v>1283248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6337250.412098702</v>
      </c>
      <c r="G664" s="19">
        <f>G660-SUM(G661:G663)</f>
        <v>5935244.6556032673</v>
      </c>
      <c r="H664" s="19">
        <f>H660-SUM(H661:H663)</f>
        <v>5945437.6122980313</v>
      </c>
      <c r="I664" s="19">
        <f>I660-SUM(I661:I663)</f>
        <v>18217932.68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503.43</v>
      </c>
      <c r="G665" s="248">
        <v>405.12</v>
      </c>
      <c r="H665" s="248">
        <v>441.66</v>
      </c>
      <c r="I665" s="19">
        <f>SUM(F665:H665)</f>
        <v>1350.21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12588.15</v>
      </c>
      <c r="G667" s="19">
        <f>ROUND(G664/G665,2)</f>
        <v>14650.58</v>
      </c>
      <c r="H667" s="19">
        <f>ROUND(H664/H665,2)</f>
        <v>13461.57</v>
      </c>
      <c r="I667" s="19">
        <f>ROUND(I664/I665,2)</f>
        <v>13492.67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-21.93</v>
      </c>
      <c r="I670" s="19">
        <f>SUM(F670:H670)</f>
        <v>-21.93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12588.15</v>
      </c>
      <c r="G672" s="19">
        <f>ROUND((G664+G669)/(G665+G670),2)</f>
        <v>14650.58</v>
      </c>
      <c r="H672" s="19">
        <f>ROUND((H664+H669)/(H665+H670),2)</f>
        <v>14164.91</v>
      </c>
      <c r="I672" s="19">
        <f>ROUND((I664+I669)/(I665+I670),2)</f>
        <v>13715.43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C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RAYMOND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5125461.68</v>
      </c>
      <c r="C9" s="229">
        <f>'DOE25'!G197+'DOE25'!G215+'DOE25'!G233+'DOE25'!G276+'DOE25'!G295+'DOE25'!G314</f>
        <v>2679433.83</v>
      </c>
    </row>
    <row r="10" spans="1:3" x14ac:dyDescent="0.2">
      <c r="A10" t="s">
        <v>779</v>
      </c>
      <c r="B10" s="240">
        <v>4762128.99</v>
      </c>
      <c r="C10" s="240">
        <v>2491018.13</v>
      </c>
    </row>
    <row r="11" spans="1:3" x14ac:dyDescent="0.2">
      <c r="A11" t="s">
        <v>780</v>
      </c>
      <c r="B11" s="240">
        <v>146638.42000000001</v>
      </c>
      <c r="C11" s="240">
        <v>97048.19</v>
      </c>
    </row>
    <row r="12" spans="1:3" x14ac:dyDescent="0.2">
      <c r="A12" t="s">
        <v>781</v>
      </c>
      <c r="B12" s="240">
        <v>216694.27</v>
      </c>
      <c r="C12" s="240">
        <v>91367.51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5125461.68</v>
      </c>
      <c r="C13" s="231">
        <f>SUM(C10:C12)</f>
        <v>2679433.8299999996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2004222.48</v>
      </c>
      <c r="C18" s="229">
        <f>'DOE25'!G198+'DOE25'!G216+'DOE25'!G234+'DOE25'!G277+'DOE25'!G296+'DOE25'!G315</f>
        <v>1227217.5999999996</v>
      </c>
    </row>
    <row r="19" spans="1:3" x14ac:dyDescent="0.2">
      <c r="A19" t="s">
        <v>779</v>
      </c>
      <c r="B19" s="240">
        <v>1253623.3700000001</v>
      </c>
      <c r="C19" s="240">
        <v>638030.94999999995</v>
      </c>
    </row>
    <row r="20" spans="1:3" x14ac:dyDescent="0.2">
      <c r="A20" t="s">
        <v>780</v>
      </c>
      <c r="B20" s="240">
        <v>740851.61</v>
      </c>
      <c r="C20" s="240">
        <v>588440.92000000004</v>
      </c>
    </row>
    <row r="21" spans="1:3" x14ac:dyDescent="0.2">
      <c r="A21" t="s">
        <v>781</v>
      </c>
      <c r="B21" s="240">
        <v>9747.5</v>
      </c>
      <c r="C21" s="240">
        <v>745.73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2004222.48</v>
      </c>
      <c r="C22" s="231">
        <f>SUM(C19:C21)</f>
        <v>1227217.6000000001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299459.56</v>
      </c>
      <c r="C36" s="235">
        <f>'DOE25'!G200+'DOE25'!G218+'DOE25'!G236+'DOE25'!G279+'DOE25'!G298+'DOE25'!G317</f>
        <v>53277.83</v>
      </c>
    </row>
    <row r="37" spans="1:3" x14ac:dyDescent="0.2">
      <c r="A37" t="s">
        <v>779</v>
      </c>
      <c r="B37" s="240">
        <v>94442.5</v>
      </c>
      <c r="C37" s="240">
        <v>20343.23</v>
      </c>
    </row>
    <row r="38" spans="1:3" x14ac:dyDescent="0.2">
      <c r="A38" t="s">
        <v>780</v>
      </c>
      <c r="B38" s="240">
        <v>31856.6</v>
      </c>
      <c r="C38" s="240">
        <v>2654.42</v>
      </c>
    </row>
    <row r="39" spans="1:3" x14ac:dyDescent="0.2">
      <c r="A39" t="s">
        <v>781</v>
      </c>
      <c r="B39" s="240">
        <v>173160.46</v>
      </c>
      <c r="C39" s="240">
        <v>30280.18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299459.56</v>
      </c>
      <c r="C40" s="231">
        <f>SUM(C37:C39)</f>
        <v>53277.83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0" activePane="bottomLeft" state="frozen"/>
      <selection activeCell="F46" sqref="F46"/>
      <selection pane="bottomLeft" activeCell="B39" sqref="B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RAYMOND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12468252.59</v>
      </c>
      <c r="D5" s="20">
        <f>SUM('DOE25'!L197:L200)+SUM('DOE25'!L215:L218)+SUM('DOE25'!L233:L236)-F5-G5</f>
        <v>12422271.789999999</v>
      </c>
      <c r="E5" s="243"/>
      <c r="F5" s="255">
        <f>SUM('DOE25'!J197:J200)+SUM('DOE25'!J215:J218)+SUM('DOE25'!J233:J236)</f>
        <v>14469.67</v>
      </c>
      <c r="G5" s="53">
        <f>SUM('DOE25'!K197:K200)+SUM('DOE25'!K215:K218)+SUM('DOE25'!K233:K236)</f>
        <v>31511.129999999997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1419175.71</v>
      </c>
      <c r="D6" s="20">
        <f>'DOE25'!L202+'DOE25'!L220+'DOE25'!L238-F6-G6</f>
        <v>1419175.71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649065.36</v>
      </c>
      <c r="D7" s="20">
        <f>'DOE25'!L203+'DOE25'!L221+'DOE25'!L239-F7-G7</f>
        <v>604136.95999999996</v>
      </c>
      <c r="E7" s="243"/>
      <c r="F7" s="255">
        <f>'DOE25'!J203+'DOE25'!J221+'DOE25'!J239</f>
        <v>44928.4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509250.0199999999</v>
      </c>
      <c r="D8" s="243"/>
      <c r="E8" s="20">
        <f>'DOE25'!L204+'DOE25'!L222+'DOE25'!L240-F8-G8-D9-D11</f>
        <v>492183.9499999999</v>
      </c>
      <c r="F8" s="255">
        <f>'DOE25'!J204+'DOE25'!J222+'DOE25'!J240</f>
        <v>706.17000000000007</v>
      </c>
      <c r="G8" s="53">
        <f>'DOE25'!K204+'DOE25'!K222+'DOE25'!K240</f>
        <v>16359.9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29420.1</v>
      </c>
      <c r="D9" s="244">
        <v>29420.1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17732.5</v>
      </c>
      <c r="D10" s="243"/>
      <c r="E10" s="244">
        <v>17732.5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228931.82</v>
      </c>
      <c r="D11" s="244">
        <v>228931.82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1190242.06</v>
      </c>
      <c r="D12" s="20">
        <f>'DOE25'!L205+'DOE25'!L223+'DOE25'!L241-F12-G12</f>
        <v>1183229.06</v>
      </c>
      <c r="E12" s="243"/>
      <c r="F12" s="255">
        <f>'DOE25'!J205+'DOE25'!J223+'DOE25'!J241</f>
        <v>0</v>
      </c>
      <c r="G12" s="53">
        <f>'DOE25'!K205+'DOE25'!K223+'DOE25'!K241</f>
        <v>7013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238736.12</v>
      </c>
      <c r="D13" s="243"/>
      <c r="E13" s="20">
        <f>'DOE25'!L206+'DOE25'!L224+'DOE25'!L242-F13-G13</f>
        <v>237204.85</v>
      </c>
      <c r="F13" s="255">
        <f>'DOE25'!J206+'DOE25'!J224+'DOE25'!J242</f>
        <v>0</v>
      </c>
      <c r="G13" s="53">
        <f>'DOE25'!K206+'DOE25'!K224+'DOE25'!K242</f>
        <v>1531.27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1619662.41</v>
      </c>
      <c r="D14" s="20">
        <f>'DOE25'!L207+'DOE25'!L225+'DOE25'!L243-F14-G14</f>
        <v>1615186.21</v>
      </c>
      <c r="E14" s="243"/>
      <c r="F14" s="255">
        <f>'DOE25'!J207+'DOE25'!J225+'DOE25'!J243</f>
        <v>4476.2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839331.79</v>
      </c>
      <c r="D15" s="20">
        <f>'DOE25'!L208+'DOE25'!L226+'DOE25'!L244-F15-G15</f>
        <v>839331.79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2458</v>
      </c>
      <c r="D16" s="243"/>
      <c r="E16" s="20">
        <f>'DOE25'!L209+'DOE25'!L227+'DOE25'!L245-F16-G16</f>
        <v>2458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18681.12</v>
      </c>
      <c r="D19" s="20">
        <f>'DOE25'!L253-F19-G19</f>
        <v>18681.12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1029303.84</v>
      </c>
      <c r="D25" s="243"/>
      <c r="E25" s="243"/>
      <c r="F25" s="258"/>
      <c r="G25" s="256"/>
      <c r="H25" s="257">
        <f>'DOE25'!L260+'DOE25'!L261+'DOE25'!L341+'DOE25'!L342</f>
        <v>1029303.84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342081.44</v>
      </c>
      <c r="D29" s="20">
        <f>'DOE25'!L358+'DOE25'!L359+'DOE25'!L360-'DOE25'!I367-F29-G29</f>
        <v>334541.64999999997</v>
      </c>
      <c r="E29" s="243"/>
      <c r="F29" s="255">
        <f>'DOE25'!J358+'DOE25'!J359+'DOE25'!J360</f>
        <v>6682.1399999999994</v>
      </c>
      <c r="G29" s="53">
        <f>'DOE25'!K358+'DOE25'!K359+'DOE25'!K360</f>
        <v>857.64999999999986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925143.41</v>
      </c>
      <c r="D31" s="20">
        <f>'DOE25'!L290+'DOE25'!L309+'DOE25'!L328+'DOE25'!L333+'DOE25'!L334+'DOE25'!L335-F31-G31</f>
        <v>894403.19000000006</v>
      </c>
      <c r="E31" s="243"/>
      <c r="F31" s="255">
        <f>'DOE25'!J290+'DOE25'!J309+'DOE25'!J328+'DOE25'!J333+'DOE25'!J334+'DOE25'!J335</f>
        <v>30740.219999999998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19589309.400000002</v>
      </c>
      <c r="E33" s="246">
        <f>SUM(E5:E31)</f>
        <v>749579.29999999993</v>
      </c>
      <c r="F33" s="246">
        <f>SUM(F5:F31)</f>
        <v>102002.79999999999</v>
      </c>
      <c r="G33" s="246">
        <f>SUM(G5:G31)</f>
        <v>57272.95</v>
      </c>
      <c r="H33" s="246">
        <f>SUM(H5:H31)</f>
        <v>1029303.84</v>
      </c>
    </row>
    <row r="35" spans="2:8" ht="12" thickBot="1" x14ac:dyDescent="0.25">
      <c r="B35" s="253" t="s">
        <v>847</v>
      </c>
      <c r="D35" s="254">
        <f>E33</f>
        <v>749579.29999999993</v>
      </c>
      <c r="E35" s="249"/>
    </row>
    <row r="36" spans="2:8" ht="12" thickTop="1" x14ac:dyDescent="0.2">
      <c r="B36" t="s">
        <v>815</v>
      </c>
      <c r="D36" s="20">
        <f>D33</f>
        <v>19589309.400000002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54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RAYMOND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1318272.3700000001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663950.91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9359.7800000000007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55809.96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16057.22</v>
      </c>
      <c r="E12" s="95">
        <f>'DOE25'!H13</f>
        <v>110349.61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4344.57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1387786.6800000002</v>
      </c>
      <c r="D18" s="41">
        <f>SUM(D8:D17)</f>
        <v>16157.22</v>
      </c>
      <c r="E18" s="41">
        <f>SUM(E8:E17)</f>
        <v>110349.61</v>
      </c>
      <c r="F18" s="41">
        <f>SUM(F8:F17)</f>
        <v>0</v>
      </c>
      <c r="G18" s="41">
        <f>SUM(G8:G17)</f>
        <v>663950.91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9208.98</v>
      </c>
      <c r="E21" s="95">
        <f>'DOE25'!H22</f>
        <v>46600.98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604590.61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133757.39000000001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114187.87999999999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6948.24</v>
      </c>
      <c r="E29" s="95">
        <f>'DOE25'!H30</f>
        <v>63748.63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852535.88</v>
      </c>
      <c r="D31" s="41">
        <f>SUM(D21:D30)</f>
        <v>16157.22</v>
      </c>
      <c r="E31" s="41">
        <f>SUM(E21:E30)</f>
        <v>110349.61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50000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663950.91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34114.99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451135.81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535250.80000000005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663950.91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1387786.6800000002</v>
      </c>
      <c r="D51" s="41">
        <f>D50+D31</f>
        <v>16157.22</v>
      </c>
      <c r="E51" s="41">
        <f>E50+E31</f>
        <v>110349.61</v>
      </c>
      <c r="F51" s="41">
        <f>F50+F31</f>
        <v>0</v>
      </c>
      <c r="G51" s="41">
        <f>G50+G31</f>
        <v>663950.91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11498923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103423.49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257.5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4202.33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274282.69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468339.43</v>
      </c>
      <c r="D61" s="95">
        <f>SUM('DOE25'!G98:G110)</f>
        <v>17799.98</v>
      </c>
      <c r="E61" s="95">
        <f>SUM('DOE25'!H98:H110)</f>
        <v>8546.630000000001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572020.42000000004</v>
      </c>
      <c r="D62" s="130">
        <f>SUM(D57:D61)</f>
        <v>292082.67</v>
      </c>
      <c r="E62" s="130">
        <f>SUM(E57:E61)</f>
        <v>8546.630000000001</v>
      </c>
      <c r="F62" s="130">
        <f>SUM(F57:F61)</f>
        <v>0</v>
      </c>
      <c r="G62" s="130">
        <f>SUM(G57:G61)</f>
        <v>4202.33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12070943.42</v>
      </c>
      <c r="D63" s="22">
        <f>D56+D62</f>
        <v>292082.67</v>
      </c>
      <c r="E63" s="22">
        <f>E56+E62</f>
        <v>8546.630000000001</v>
      </c>
      <c r="F63" s="22">
        <f>F56+F62</f>
        <v>0</v>
      </c>
      <c r="G63" s="22">
        <f>G56+G62</f>
        <v>4202.33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5663025.9100000001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1977746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7640771.9100000001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428193.22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255199.83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22100.400000000001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6143.36</v>
      </c>
      <c r="D77" s="95">
        <f>SUM('DOE25'!G131:G135)</f>
        <v>6134.4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711636.80999999994</v>
      </c>
      <c r="D78" s="130">
        <f>SUM(D72:D77)</f>
        <v>6134.4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8352408.7199999997</v>
      </c>
      <c r="D81" s="130">
        <f>SUM(D79:D80)+D78+D70</f>
        <v>6134.4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269887.52</v>
      </c>
      <c r="D88" s="95">
        <f>SUM('DOE25'!G153:G161)</f>
        <v>221538.02</v>
      </c>
      <c r="E88" s="95">
        <f>SUM('DOE25'!H153:H161)</f>
        <v>949029.27999999991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269887.52</v>
      </c>
      <c r="D91" s="131">
        <f>SUM(D85:D90)</f>
        <v>221538.02</v>
      </c>
      <c r="E91" s="131">
        <f>SUM(E85:E90)</f>
        <v>949029.27999999991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7376.02</v>
      </c>
      <c r="E96" s="95">
        <f>'DOE25'!H179</f>
        <v>0</v>
      </c>
      <c r="F96" s="95">
        <f>'DOE25'!I179</f>
        <v>0</v>
      </c>
      <c r="G96" s="95">
        <f>'DOE25'!J179</f>
        <v>195000</v>
      </c>
    </row>
    <row r="97" spans="1:7" x14ac:dyDescent="0.2">
      <c r="A97" t="s">
        <v>758</v>
      </c>
      <c r="B97" s="32" t="s">
        <v>188</v>
      </c>
      <c r="C97" s="95">
        <f>SUM('DOE25'!F180:F181)</f>
        <v>32432.5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32432.5</v>
      </c>
      <c r="D103" s="86">
        <f>SUM(D93:D102)</f>
        <v>7376.02</v>
      </c>
      <c r="E103" s="86">
        <f>SUM(E93:E102)</f>
        <v>0</v>
      </c>
      <c r="F103" s="86">
        <f>SUM(F93:F102)</f>
        <v>0</v>
      </c>
      <c r="G103" s="86">
        <f>SUM(G93:G102)</f>
        <v>195000</v>
      </c>
    </row>
    <row r="104" spans="1:7" ht="12.75" thickTop="1" thickBot="1" x14ac:dyDescent="0.25">
      <c r="A104" s="33" t="s">
        <v>765</v>
      </c>
      <c r="C104" s="86">
        <f>C63+C81+C91+C103</f>
        <v>20725672.16</v>
      </c>
      <c r="D104" s="86">
        <f>D63+D81+D91+D103</f>
        <v>527131.11</v>
      </c>
      <c r="E104" s="86">
        <f>E63+E81+E91+E103</f>
        <v>957575.90999999992</v>
      </c>
      <c r="F104" s="86">
        <f>F63+F81+F91+F103</f>
        <v>0</v>
      </c>
      <c r="G104" s="86">
        <f>G63+G81+G103</f>
        <v>199202.33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7774854.5899999999</v>
      </c>
      <c r="D109" s="24" t="s">
        <v>289</v>
      </c>
      <c r="E109" s="95">
        <f>('DOE25'!L276)+('DOE25'!L295)+('DOE25'!L314)</f>
        <v>263103.27999999997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4292060.79</v>
      </c>
      <c r="D110" s="24" t="s">
        <v>289</v>
      </c>
      <c r="E110" s="95">
        <f>('DOE25'!L277)+('DOE25'!L296)+('DOE25'!L315)</f>
        <v>257109.2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173937.5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227399.71000000002</v>
      </c>
      <c r="D112" s="24" t="s">
        <v>289</v>
      </c>
      <c r="E112" s="95">
        <f>+('DOE25'!L279)+('DOE25'!L298)+('DOE25'!L317)</f>
        <v>201632.8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18681.12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12486933.709999999</v>
      </c>
      <c r="D115" s="86">
        <f>SUM(D109:D114)</f>
        <v>0</v>
      </c>
      <c r="E115" s="86">
        <f>SUM(E109:E114)</f>
        <v>721845.28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1419175.71</v>
      </c>
      <c r="D118" s="24" t="s">
        <v>289</v>
      </c>
      <c r="E118" s="95">
        <f>+('DOE25'!L281)+('DOE25'!L300)+('DOE25'!L319)</f>
        <v>70169.42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649065.36</v>
      </c>
      <c r="D119" s="24" t="s">
        <v>289</v>
      </c>
      <c r="E119" s="95">
        <f>+('DOE25'!L282)+('DOE25'!L301)+('DOE25'!L320)</f>
        <v>118923.35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767601.94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1190242.06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238736.12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1619662.41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839331.79</v>
      </c>
      <c r="D124" s="24" t="s">
        <v>289</v>
      </c>
      <c r="E124" s="95">
        <f>+('DOE25'!L287)+('DOE25'!L306)+('DOE25'!L325)</f>
        <v>14205.359999999999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2458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527131.11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6726273.3899999997</v>
      </c>
      <c r="D128" s="86">
        <f>SUM(D118:D127)</f>
        <v>527131.11</v>
      </c>
      <c r="E128" s="86">
        <f>SUM(E118:E127)</f>
        <v>203298.13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725547.73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303756.11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32432.5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7376.02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198710.61000000002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491.72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-4202.3300000000163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1231679.8599999999</v>
      </c>
      <c r="D144" s="141">
        <f>SUM(D130:D143)</f>
        <v>0</v>
      </c>
      <c r="E144" s="141">
        <f>SUM(E130:E143)</f>
        <v>32432.5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20444886.959999997</v>
      </c>
      <c r="D145" s="86">
        <f>(D115+D128+D144)</f>
        <v>527131.11</v>
      </c>
      <c r="E145" s="86">
        <f>(E115+E128+E144)</f>
        <v>957575.91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8/05</v>
      </c>
      <c r="C152" s="152" t="str">
        <f>'DOE25'!G491</f>
        <v>10/03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8/25</v>
      </c>
      <c r="C153" s="152" t="str">
        <f>'DOE25'!G492</f>
        <v>10/13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13402490</v>
      </c>
      <c r="C154" s="137">
        <f>'DOE25'!G493</f>
        <v>246250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4.13</v>
      </c>
      <c r="C155" s="137">
        <f>'DOE25'!G494</f>
        <v>4.3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7121269.1699999999</v>
      </c>
      <c r="C156" s="137">
        <f>'DOE25'!G495</f>
        <v>24625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7145894.1699999999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705829.76</v>
      </c>
      <c r="C158" s="137">
        <f>'DOE25'!G497</f>
        <v>24625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730454.76</v>
      </c>
    </row>
    <row r="159" spans="1:9" x14ac:dyDescent="0.2">
      <c r="A159" s="22" t="s">
        <v>35</v>
      </c>
      <c r="B159" s="137">
        <f>'DOE25'!F498</f>
        <v>6415439.4100000001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6415439.4100000001</v>
      </c>
    </row>
    <row r="160" spans="1:9" x14ac:dyDescent="0.2">
      <c r="A160" s="22" t="s">
        <v>36</v>
      </c>
      <c r="B160" s="137">
        <f>'DOE25'!F499</f>
        <v>5362702.59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5362702.59</v>
      </c>
    </row>
    <row r="161" spans="1:7" x14ac:dyDescent="0.2">
      <c r="A161" s="22" t="s">
        <v>37</v>
      </c>
      <c r="B161" s="137">
        <f>'DOE25'!F500</f>
        <v>11778142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11778142</v>
      </c>
    </row>
    <row r="162" spans="1:7" x14ac:dyDescent="0.2">
      <c r="A162" s="22" t="s">
        <v>38</v>
      </c>
      <c r="B162" s="137">
        <f>'DOE25'!F501</f>
        <v>675662.46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675662.46</v>
      </c>
    </row>
    <row r="163" spans="1:7" x14ac:dyDescent="0.2">
      <c r="A163" s="22" t="s">
        <v>39</v>
      </c>
      <c r="B163" s="137">
        <f>'DOE25'!F502</f>
        <v>326075.53999999998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326075.53999999998</v>
      </c>
    </row>
    <row r="164" spans="1:7" x14ac:dyDescent="0.2">
      <c r="A164" s="22" t="s">
        <v>246</v>
      </c>
      <c r="B164" s="137">
        <f>'DOE25'!F503</f>
        <v>1001738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1001738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RAYMOND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12588</v>
      </c>
    </row>
    <row r="5" spans="1:4" x14ac:dyDescent="0.2">
      <c r="B5" t="s">
        <v>704</v>
      </c>
      <c r="C5" s="179">
        <f>IF('DOE25'!G665+'DOE25'!G670=0,0,ROUND('DOE25'!G672,0))</f>
        <v>14651</v>
      </c>
    </row>
    <row r="6" spans="1:4" x14ac:dyDescent="0.2">
      <c r="B6" t="s">
        <v>62</v>
      </c>
      <c r="C6" s="179">
        <f>IF('DOE25'!H665+'DOE25'!H670=0,0,ROUND('DOE25'!H672,0))</f>
        <v>14165</v>
      </c>
    </row>
    <row r="7" spans="1:4" x14ac:dyDescent="0.2">
      <c r="B7" t="s">
        <v>705</v>
      </c>
      <c r="C7" s="179">
        <f>IF('DOE25'!I665+'DOE25'!I670=0,0,ROUND('DOE25'!I672,0))</f>
        <v>13715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8037958</v>
      </c>
      <c r="D10" s="182">
        <f>ROUND((C10/$C$28)*100,1)</f>
        <v>38.9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4549170</v>
      </c>
      <c r="D11" s="182">
        <f>ROUND((C11/$C$28)*100,1)</f>
        <v>22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173938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429033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1489345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767989</v>
      </c>
      <c r="D16" s="182">
        <f t="shared" si="0"/>
        <v>3.7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770060</v>
      </c>
      <c r="D17" s="182">
        <f t="shared" si="0"/>
        <v>3.7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1190242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238736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1619662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853537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18681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303756</v>
      </c>
      <c r="D25" s="182">
        <f t="shared" si="0"/>
        <v>1.5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235048.33000000002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20677155.329999998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20677155.329999998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725548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11498923</v>
      </c>
      <c r="D35" s="182">
        <f t="shared" ref="D35:D40" si="1">ROUND((C35/$C$41)*100,1)</f>
        <v>52.5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584769.38000000082</v>
      </c>
      <c r="D36" s="182">
        <f t="shared" si="1"/>
        <v>2.7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7640772</v>
      </c>
      <c r="D37" s="182">
        <f t="shared" si="1"/>
        <v>34.9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717771</v>
      </c>
      <c r="D38" s="182">
        <f t="shared" si="1"/>
        <v>3.3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1440455</v>
      </c>
      <c r="D39" s="182">
        <f t="shared" si="1"/>
        <v>6.6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21882690.380000003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7" sqref="C27:M2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RAYMOND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2</v>
      </c>
      <c r="B5" s="219">
        <v>3</v>
      </c>
      <c r="C5" s="287" t="s">
        <v>917</v>
      </c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3</v>
      </c>
      <c r="B7" s="219">
        <v>24</v>
      </c>
      <c r="C7" s="274" t="s">
        <v>921</v>
      </c>
      <c r="D7" s="274"/>
      <c r="E7" s="274"/>
      <c r="F7" s="274"/>
      <c r="G7" s="274"/>
      <c r="H7" s="274"/>
      <c r="I7" s="274"/>
      <c r="J7" s="274"/>
      <c r="K7" s="274"/>
      <c r="L7" s="274"/>
      <c r="M7" s="27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74" t="s">
        <v>920</v>
      </c>
      <c r="D8" s="274"/>
      <c r="E8" s="274"/>
      <c r="F8" s="274"/>
      <c r="G8" s="274"/>
      <c r="H8" s="274"/>
      <c r="I8" s="274"/>
      <c r="J8" s="274"/>
      <c r="K8" s="274"/>
      <c r="L8" s="274"/>
      <c r="M8" s="27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74" t="s">
        <v>922</v>
      </c>
      <c r="D9" s="274"/>
      <c r="E9" s="274"/>
      <c r="F9" s="274"/>
      <c r="G9" s="274"/>
      <c r="H9" s="274"/>
      <c r="I9" s="274"/>
      <c r="J9" s="274"/>
      <c r="K9" s="274"/>
      <c r="L9" s="274"/>
      <c r="M9" s="27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>
        <v>4</v>
      </c>
      <c r="B11" s="219">
        <v>18</v>
      </c>
      <c r="C11" s="274" t="s">
        <v>918</v>
      </c>
      <c r="D11" s="274"/>
      <c r="E11" s="274"/>
      <c r="F11" s="274"/>
      <c r="G11" s="274"/>
      <c r="H11" s="274"/>
      <c r="I11" s="274"/>
      <c r="J11" s="274"/>
      <c r="K11" s="274"/>
      <c r="L11" s="274"/>
      <c r="M11" s="27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>
        <v>6</v>
      </c>
      <c r="B13" s="219">
        <v>8</v>
      </c>
      <c r="C13" s="274" t="s">
        <v>919</v>
      </c>
      <c r="D13" s="274"/>
      <c r="E13" s="274"/>
      <c r="F13" s="274"/>
      <c r="G13" s="274"/>
      <c r="H13" s="274"/>
      <c r="I13" s="274"/>
      <c r="J13" s="274"/>
      <c r="K13" s="274"/>
      <c r="L13" s="274"/>
      <c r="M13" s="27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>
        <v>14</v>
      </c>
      <c r="B15" s="219">
        <v>10</v>
      </c>
      <c r="C15" s="274" t="s">
        <v>924</v>
      </c>
      <c r="D15" s="274"/>
      <c r="E15" s="274"/>
      <c r="F15" s="274"/>
      <c r="G15" s="274"/>
      <c r="H15" s="274"/>
      <c r="I15" s="274"/>
      <c r="J15" s="274"/>
      <c r="K15" s="274"/>
      <c r="L15" s="274"/>
      <c r="M15" s="27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>
        <v>17</v>
      </c>
      <c r="B17" s="219">
        <v>13</v>
      </c>
      <c r="C17" s="274" t="s">
        <v>923</v>
      </c>
      <c r="D17" s="274"/>
      <c r="E17" s="274"/>
      <c r="F17" s="274"/>
      <c r="G17" s="274"/>
      <c r="H17" s="274"/>
      <c r="I17" s="274"/>
      <c r="J17" s="274"/>
      <c r="K17" s="274"/>
      <c r="L17" s="274"/>
      <c r="M17" s="27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 t="s">
        <v>287</v>
      </c>
      <c r="B19" s="219" t="s">
        <v>287</v>
      </c>
      <c r="C19" s="274" t="s">
        <v>287</v>
      </c>
      <c r="D19" s="274"/>
      <c r="E19" s="274"/>
      <c r="F19" s="274"/>
      <c r="G19" s="274"/>
      <c r="H19" s="274"/>
      <c r="I19" s="274"/>
      <c r="J19" s="274"/>
      <c r="K19" s="274"/>
      <c r="L19" s="274"/>
      <c r="M19" s="27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70A" sheet="1" objects="1" scenarios="1"/>
  <mergeCells count="210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DP32:DZ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2014-08-04T14:36:06Z</cp:lastPrinted>
  <dcterms:created xsi:type="dcterms:W3CDTF">1997-12-04T19:04:30Z</dcterms:created>
  <dcterms:modified xsi:type="dcterms:W3CDTF">2014-12-05T17:30:02Z</dcterms:modified>
</cp:coreProperties>
</file>