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37" i="12" l="1"/>
  <c r="B37" i="12"/>
  <c r="B39" i="12"/>
  <c r="C28" i="12"/>
  <c r="B28" i="12"/>
  <c r="C19" i="12"/>
  <c r="C20" i="12"/>
  <c r="B19" i="12"/>
  <c r="B21" i="12"/>
  <c r="B20" i="12"/>
  <c r="C10" i="12"/>
  <c r="C11" i="12"/>
  <c r="B10" i="12"/>
  <c r="B12" i="12"/>
  <c r="B11" i="12"/>
  <c r="J604" i="1"/>
  <c r="H161" i="1"/>
  <c r="F277" i="1"/>
  <c r="H582" i="1" l="1"/>
  <c r="F233" i="1" l="1"/>
  <c r="G251" i="1"/>
  <c r="F251" i="1"/>
  <c r="G472" i="1" l="1"/>
  <c r="G468" i="1"/>
  <c r="F367" i="1"/>
  <c r="F368" i="1"/>
  <c r="I358" i="1"/>
  <c r="G358" i="1"/>
  <c r="F358" i="1"/>
  <c r="G24" i="1"/>
  <c r="G22" i="1"/>
  <c r="G14" i="1"/>
  <c r="F110" i="1" l="1"/>
  <c r="F145" i="1"/>
  <c r="F69" i="1"/>
  <c r="C45" i="2" l="1"/>
  <c r="G51" i="1"/>
  <c r="F51" i="1"/>
  <c r="C37" i="10" l="1"/>
  <c r="F40" i="2" l="1"/>
  <c r="D39" i="2"/>
  <c r="G655" i="1"/>
  <c r="J655" i="1" s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E8" i="13" s="1"/>
  <c r="C8" i="13" s="1"/>
  <c r="L240" i="1"/>
  <c r="D39" i="13"/>
  <c r="F13" i="13"/>
  <c r="G13" i="13"/>
  <c r="L206" i="1"/>
  <c r="C122" i="2" s="1"/>
  <c r="L224" i="1"/>
  <c r="L242" i="1"/>
  <c r="F16" i="13"/>
  <c r="G16" i="13"/>
  <c r="L209" i="1"/>
  <c r="L227" i="1"/>
  <c r="L245" i="1"/>
  <c r="F5" i="13"/>
  <c r="D5" i="13" s="1"/>
  <c r="C5" i="13" s="1"/>
  <c r="G5" i="13"/>
  <c r="L197" i="1"/>
  <c r="L198" i="1"/>
  <c r="L199" i="1"/>
  <c r="C111" i="2" s="1"/>
  <c r="L200" i="1"/>
  <c r="L215" i="1"/>
  <c r="L216" i="1"/>
  <c r="L217" i="1"/>
  <c r="L218" i="1"/>
  <c r="L233" i="1"/>
  <c r="L234" i="1"/>
  <c r="L247" i="1" s="1"/>
  <c r="L235" i="1"/>
  <c r="L236" i="1"/>
  <c r="F6" i="13"/>
  <c r="G6" i="13"/>
  <c r="L202" i="1"/>
  <c r="C118" i="2" s="1"/>
  <c r="L220" i="1"/>
  <c r="L238" i="1"/>
  <c r="F7" i="13"/>
  <c r="G7" i="13"/>
  <c r="L203" i="1"/>
  <c r="L221" i="1"/>
  <c r="L239" i="1"/>
  <c r="D7" i="13" s="1"/>
  <c r="C7" i="13" s="1"/>
  <c r="F12" i="13"/>
  <c r="G12" i="13"/>
  <c r="L205" i="1"/>
  <c r="L223" i="1"/>
  <c r="L241" i="1"/>
  <c r="F14" i="13"/>
  <c r="G14" i="13"/>
  <c r="L207" i="1"/>
  <c r="L225" i="1"/>
  <c r="D14" i="13" s="1"/>
  <c r="C14" i="13" s="1"/>
  <c r="L243" i="1"/>
  <c r="F15" i="13"/>
  <c r="G15" i="13"/>
  <c r="L208" i="1"/>
  <c r="G649" i="1" s="1"/>
  <c r="J649" i="1" s="1"/>
  <c r="L226" i="1"/>
  <c r="L244" i="1"/>
  <c r="F17" i="13"/>
  <c r="G17" i="13"/>
  <c r="D17" i="13" s="1"/>
  <c r="C17" i="13" s="1"/>
  <c r="L251" i="1"/>
  <c r="F18" i="13"/>
  <c r="G18" i="13"/>
  <c r="L252" i="1"/>
  <c r="D18" i="13" s="1"/>
  <c r="C18" i="13" s="1"/>
  <c r="F19" i="13"/>
  <c r="G19" i="13"/>
  <c r="L253" i="1"/>
  <c r="D19" i="13" s="1"/>
  <c r="C19" i="13" s="1"/>
  <c r="F29" i="13"/>
  <c r="G29" i="13"/>
  <c r="L358" i="1"/>
  <c r="L359" i="1"/>
  <c r="D29" i="13" s="1"/>
  <c r="C29" i="13" s="1"/>
  <c r="L360" i="1"/>
  <c r="I367" i="1"/>
  <c r="J290" i="1"/>
  <c r="J309" i="1"/>
  <c r="J328" i="1"/>
  <c r="K290" i="1"/>
  <c r="K309" i="1"/>
  <c r="K328" i="1"/>
  <c r="L276" i="1"/>
  <c r="L290" i="1" s="1"/>
  <c r="L277" i="1"/>
  <c r="L278" i="1"/>
  <c r="L279" i="1"/>
  <c r="C13" i="10" s="1"/>
  <c r="L281" i="1"/>
  <c r="E118" i="2" s="1"/>
  <c r="L282" i="1"/>
  <c r="L283" i="1"/>
  <c r="L284" i="1"/>
  <c r="E121" i="2" s="1"/>
  <c r="L285" i="1"/>
  <c r="E122" i="2" s="1"/>
  <c r="L286" i="1"/>
  <c r="L287" i="1"/>
  <c r="L288" i="1"/>
  <c r="E125" i="2" s="1"/>
  <c r="L295" i="1"/>
  <c r="L309" i="1" s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28" i="1" s="1"/>
  <c r="H660" i="1" s="1"/>
  <c r="L315" i="1"/>
  <c r="L316" i="1"/>
  <c r="L317" i="1"/>
  <c r="L319" i="1"/>
  <c r="L320" i="1"/>
  <c r="L321" i="1"/>
  <c r="L322" i="1"/>
  <c r="L323" i="1"/>
  <c r="L324" i="1"/>
  <c r="L325" i="1"/>
  <c r="L326" i="1"/>
  <c r="L333" i="1"/>
  <c r="E114" i="2" s="1"/>
  <c r="L334" i="1"/>
  <c r="L335" i="1"/>
  <c r="L260" i="1"/>
  <c r="C32" i="10" s="1"/>
  <c r="L261" i="1"/>
  <c r="C25" i="10" s="1"/>
  <c r="L341" i="1"/>
  <c r="L342" i="1"/>
  <c r="L255" i="1"/>
  <c r="L336" i="1"/>
  <c r="E130" i="2" s="1"/>
  <c r="C11" i="13"/>
  <c r="C10" i="13"/>
  <c r="C9" i="13"/>
  <c r="L361" i="1"/>
  <c r="B4" i="12"/>
  <c r="B36" i="12"/>
  <c r="C36" i="12"/>
  <c r="B40" i="12"/>
  <c r="C40" i="12"/>
  <c r="B27" i="12"/>
  <c r="C27" i="12"/>
  <c r="B31" i="12"/>
  <c r="A31" i="12" s="1"/>
  <c r="C31" i="12"/>
  <c r="B9" i="12"/>
  <c r="B13" i="12"/>
  <c r="C9" i="12"/>
  <c r="C13" i="12"/>
  <c r="B18" i="12"/>
  <c r="B22" i="12"/>
  <c r="C18" i="12"/>
  <c r="C22" i="12"/>
  <c r="B1" i="12"/>
  <c r="L387" i="1"/>
  <c r="L388" i="1"/>
  <c r="L393" i="1" s="1"/>
  <c r="C138" i="2" s="1"/>
  <c r="L389" i="1"/>
  <c r="L390" i="1"/>
  <c r="L391" i="1"/>
  <c r="L392" i="1"/>
  <c r="L395" i="1"/>
  <c r="L396" i="1"/>
  <c r="L397" i="1"/>
  <c r="L401" i="1" s="1"/>
  <c r="C139" i="2" s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F112" i="1" s="1"/>
  <c r="G60" i="1"/>
  <c r="H60" i="1"/>
  <c r="I60" i="1"/>
  <c r="F56" i="2" s="1"/>
  <c r="F79" i="1"/>
  <c r="C57" i="2" s="1"/>
  <c r="F94" i="1"/>
  <c r="F111" i="1"/>
  <c r="G111" i="1"/>
  <c r="G112" i="1" s="1"/>
  <c r="H79" i="1"/>
  <c r="E57" i="2" s="1"/>
  <c r="E62" i="2" s="1"/>
  <c r="E63" i="2" s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C85" i="2" s="1"/>
  <c r="C91" i="2" s="1"/>
  <c r="F162" i="1"/>
  <c r="G147" i="1"/>
  <c r="G162" i="1"/>
  <c r="H147" i="1"/>
  <c r="H162" i="1"/>
  <c r="H169" i="1" s="1"/>
  <c r="I147" i="1"/>
  <c r="I162" i="1"/>
  <c r="C12" i="10"/>
  <c r="L250" i="1"/>
  <c r="L332" i="1"/>
  <c r="L254" i="1"/>
  <c r="L268" i="1"/>
  <c r="L269" i="1"/>
  <c r="C26" i="10" s="1"/>
  <c r="L349" i="1"/>
  <c r="E142" i="2" s="1"/>
  <c r="L350" i="1"/>
  <c r="I665" i="1"/>
  <c r="I670" i="1"/>
  <c r="L211" i="1"/>
  <c r="G662" i="1"/>
  <c r="H662" i="1"/>
  <c r="I669" i="1"/>
  <c r="C42" i="10"/>
  <c r="L374" i="1"/>
  <c r="F130" i="2" s="1"/>
  <c r="L375" i="1"/>
  <c r="L376" i="1"/>
  <c r="L377" i="1"/>
  <c r="L378" i="1"/>
  <c r="L379" i="1"/>
  <c r="L380" i="1"/>
  <c r="B2" i="10"/>
  <c r="L344" i="1"/>
  <c r="L351" i="1" s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K549" i="1" s="1"/>
  <c r="L527" i="1"/>
  <c r="G550" i="1" s="1"/>
  <c r="L528" i="1"/>
  <c r="G551" i="1" s="1"/>
  <c r="L531" i="1"/>
  <c r="H549" i="1" s="1"/>
  <c r="L532" i="1"/>
  <c r="H550" i="1" s="1"/>
  <c r="H552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J552" i="1" s="1"/>
  <c r="E132" i="2"/>
  <c r="E131" i="2"/>
  <c r="K270" i="1"/>
  <c r="J270" i="1"/>
  <c r="I270" i="1"/>
  <c r="H270" i="1"/>
  <c r="G270" i="1"/>
  <c r="F270" i="1"/>
  <c r="C132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D18" i="2" s="1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E31" i="2" s="1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C58" i="2"/>
  <c r="E58" i="2"/>
  <c r="C59" i="2"/>
  <c r="D59" i="2"/>
  <c r="D62" i="2" s="1"/>
  <c r="D63" i="2" s="1"/>
  <c r="E59" i="2"/>
  <c r="F59" i="2"/>
  <c r="D60" i="2"/>
  <c r="C61" i="2"/>
  <c r="D61" i="2"/>
  <c r="E61" i="2"/>
  <c r="F61" i="2"/>
  <c r="C66" i="2"/>
  <c r="C67" i="2"/>
  <c r="C70" i="2" s="1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C78" i="2" s="1"/>
  <c r="C81" i="2" s="1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C110" i="2"/>
  <c r="E110" i="2"/>
  <c r="E111" i="2"/>
  <c r="C112" i="2"/>
  <c r="C113" i="2"/>
  <c r="E113" i="2"/>
  <c r="C114" i="2"/>
  <c r="D115" i="2"/>
  <c r="F115" i="2"/>
  <c r="G115" i="2"/>
  <c r="C119" i="2"/>
  <c r="E119" i="2"/>
  <c r="E120" i="2"/>
  <c r="C121" i="2"/>
  <c r="C123" i="2"/>
  <c r="E123" i="2"/>
  <c r="E124" i="2"/>
  <c r="C125" i="2"/>
  <c r="F128" i="2"/>
  <c r="G128" i="2"/>
  <c r="C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G156" i="2" s="1"/>
  <c r="C156" i="2"/>
  <c r="D156" i="2"/>
  <c r="E156" i="2"/>
  <c r="F156" i="2"/>
  <c r="B157" i="2"/>
  <c r="G157" i="2" s="1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G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I19" i="1"/>
  <c r="F32" i="1"/>
  <c r="F52" i="1" s="1"/>
  <c r="H617" i="1" s="1"/>
  <c r="G32" i="1"/>
  <c r="H32" i="1"/>
  <c r="I32" i="1"/>
  <c r="G52" i="1"/>
  <c r="H618" i="1" s="1"/>
  <c r="H51" i="1"/>
  <c r="H52" i="1" s="1"/>
  <c r="H619" i="1" s="1"/>
  <c r="I51" i="1"/>
  <c r="I52" i="1" s="1"/>
  <c r="H620" i="1" s="1"/>
  <c r="F177" i="1"/>
  <c r="F192" i="1" s="1"/>
  <c r="I177" i="1"/>
  <c r="F183" i="1"/>
  <c r="G183" i="1"/>
  <c r="G192" i="1" s="1"/>
  <c r="H183" i="1"/>
  <c r="H192" i="1" s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K257" i="1" s="1"/>
  <c r="K271" i="1" s="1"/>
  <c r="F256" i="1"/>
  <c r="G256" i="1"/>
  <c r="H256" i="1"/>
  <c r="L256" i="1" s="1"/>
  <c r="I256" i="1"/>
  <c r="J256" i="1"/>
  <c r="K256" i="1"/>
  <c r="F257" i="1"/>
  <c r="F271" i="1" s="1"/>
  <c r="L270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F369" i="1"/>
  <c r="G369" i="1"/>
  <c r="H369" i="1"/>
  <c r="I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7" i="1" s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3" i="1" s="1"/>
  <c r="L431" i="1"/>
  <c r="L432" i="1"/>
  <c r="F433" i="1"/>
  <c r="G433" i="1"/>
  <c r="H433" i="1"/>
  <c r="I433" i="1"/>
  <c r="J433" i="1"/>
  <c r="F446" i="1"/>
  <c r="G446" i="1"/>
  <c r="H446" i="1"/>
  <c r="F452" i="1"/>
  <c r="G452" i="1"/>
  <c r="H452" i="1"/>
  <c r="F460" i="1"/>
  <c r="G460" i="1"/>
  <c r="H460" i="1"/>
  <c r="F461" i="1"/>
  <c r="H639" i="1" s="1"/>
  <c r="G461" i="1"/>
  <c r="H461" i="1"/>
  <c r="F470" i="1"/>
  <c r="F476" i="1" s="1"/>
  <c r="H622" i="1" s="1"/>
  <c r="J622" i="1" s="1"/>
  <c r="G470" i="1"/>
  <c r="H470" i="1"/>
  <c r="I470" i="1"/>
  <c r="I476" i="1" s="1"/>
  <c r="H625" i="1" s="1"/>
  <c r="J470" i="1"/>
  <c r="J476" i="1" s="1"/>
  <c r="H626" i="1" s="1"/>
  <c r="F474" i="1"/>
  <c r="G474" i="1"/>
  <c r="H474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G545" i="1" s="1"/>
  <c r="H524" i="1"/>
  <c r="I524" i="1"/>
  <c r="J524" i="1"/>
  <c r="J545" i="1" s="1"/>
  <c r="K524" i="1"/>
  <c r="K545" i="1" s="1"/>
  <c r="F529" i="1"/>
  <c r="G529" i="1"/>
  <c r="H529" i="1"/>
  <c r="H545" i="1" s="1"/>
  <c r="I529" i="1"/>
  <c r="J529" i="1"/>
  <c r="K529" i="1"/>
  <c r="L529" i="1"/>
  <c r="F534" i="1"/>
  <c r="G534" i="1"/>
  <c r="H534" i="1"/>
  <c r="I534" i="1"/>
  <c r="I545" i="1" s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60" i="1" s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K571" i="1" s="1"/>
  <c r="L567" i="1"/>
  <c r="L570" i="1" s="1"/>
  <c r="L568" i="1"/>
  <c r="L569" i="1"/>
  <c r="F570" i="1"/>
  <c r="F571" i="1" s="1"/>
  <c r="G570" i="1"/>
  <c r="H570" i="1"/>
  <c r="I570" i="1"/>
  <c r="J570" i="1"/>
  <c r="J571" i="1" s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J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G639" i="1"/>
  <c r="J639" i="1" s="1"/>
  <c r="G640" i="1"/>
  <c r="H640" i="1"/>
  <c r="G641" i="1"/>
  <c r="J641" i="1" s="1"/>
  <c r="H641" i="1"/>
  <c r="G643" i="1"/>
  <c r="J643" i="1" s="1"/>
  <c r="H643" i="1"/>
  <c r="G644" i="1"/>
  <c r="H644" i="1"/>
  <c r="J644" i="1" s="1"/>
  <c r="G645" i="1"/>
  <c r="J645" i="1" s="1"/>
  <c r="H645" i="1"/>
  <c r="G650" i="1"/>
  <c r="G651" i="1"/>
  <c r="G652" i="1"/>
  <c r="H652" i="1"/>
  <c r="G653" i="1"/>
  <c r="H653" i="1"/>
  <c r="G654" i="1"/>
  <c r="H654" i="1"/>
  <c r="H655" i="1"/>
  <c r="C18" i="2"/>
  <c r="A40" i="12"/>
  <c r="D15" i="13"/>
  <c r="C15" i="13" s="1"/>
  <c r="D6" i="13"/>
  <c r="C6" i="13" s="1"/>
  <c r="F78" i="2"/>
  <c r="D31" i="2"/>
  <c r="D50" i="2"/>
  <c r="F18" i="2"/>
  <c r="E103" i="2"/>
  <c r="D91" i="2"/>
  <c r="G62" i="2"/>
  <c r="E13" i="13"/>
  <c r="C13" i="13" s="1"/>
  <c r="E78" i="2"/>
  <c r="H112" i="1"/>
  <c r="K605" i="1"/>
  <c r="G648" i="1" s="1"/>
  <c r="L419" i="1"/>
  <c r="I169" i="1"/>
  <c r="G552" i="1"/>
  <c r="H476" i="1"/>
  <c r="H624" i="1" s="1"/>
  <c r="J624" i="1" s="1"/>
  <c r="G338" i="1"/>
  <c r="G352" i="1" s="1"/>
  <c r="F169" i="1"/>
  <c r="J140" i="1"/>
  <c r="H257" i="1"/>
  <c r="H271" i="1" s="1"/>
  <c r="I552" i="1"/>
  <c r="G22" i="2"/>
  <c r="K598" i="1"/>
  <c r="G647" i="1" s="1"/>
  <c r="C29" i="10"/>
  <c r="H140" i="1"/>
  <c r="F22" i="13"/>
  <c r="C22" i="13" s="1"/>
  <c r="J640" i="1"/>
  <c r="H571" i="1"/>
  <c r="H338" i="1"/>
  <c r="H352" i="1" s="1"/>
  <c r="F338" i="1"/>
  <c r="F352" i="1" s="1"/>
  <c r="F552" i="1"/>
  <c r="E16" i="13"/>
  <c r="C16" i="13" s="1"/>
  <c r="I571" i="1"/>
  <c r="G36" i="2"/>
  <c r="L565" i="1"/>
  <c r="K551" i="1"/>
  <c r="J617" i="1" l="1"/>
  <c r="E128" i="2"/>
  <c r="C115" i="2"/>
  <c r="K500" i="1"/>
  <c r="I452" i="1"/>
  <c r="F662" i="1"/>
  <c r="I662" i="1" s="1"/>
  <c r="C18" i="10"/>
  <c r="K550" i="1"/>
  <c r="K552" i="1" s="1"/>
  <c r="E81" i="2"/>
  <c r="H647" i="1"/>
  <c r="L539" i="1"/>
  <c r="K503" i="1"/>
  <c r="L382" i="1"/>
  <c r="G636" i="1" s="1"/>
  <c r="J636" i="1" s="1"/>
  <c r="K338" i="1"/>
  <c r="K352" i="1" s="1"/>
  <c r="C124" i="2"/>
  <c r="C120" i="2"/>
  <c r="C56" i="2"/>
  <c r="F661" i="1"/>
  <c r="J647" i="1"/>
  <c r="F81" i="2"/>
  <c r="L534" i="1"/>
  <c r="I460" i="1"/>
  <c r="I446" i="1"/>
  <c r="G642" i="1" s="1"/>
  <c r="E109" i="2"/>
  <c r="C10" i="10"/>
  <c r="C35" i="10"/>
  <c r="H25" i="13"/>
  <c r="C25" i="13" s="1"/>
  <c r="D12" i="13"/>
  <c r="C12" i="13" s="1"/>
  <c r="L544" i="1"/>
  <c r="L524" i="1"/>
  <c r="J338" i="1"/>
  <c r="J352" i="1" s="1"/>
  <c r="E112" i="2"/>
  <c r="C131" i="2"/>
  <c r="A13" i="12"/>
  <c r="C21" i="10"/>
  <c r="C15" i="10"/>
  <c r="C19" i="10"/>
  <c r="J625" i="1"/>
  <c r="H33" i="13"/>
  <c r="J257" i="1"/>
  <c r="J271" i="1" s="1"/>
  <c r="C20" i="10"/>
  <c r="L229" i="1"/>
  <c r="L257" i="1" s="1"/>
  <c r="L271" i="1" s="1"/>
  <c r="G632" i="1" s="1"/>
  <c r="J632" i="1" s="1"/>
  <c r="C128" i="2"/>
  <c r="C17" i="10"/>
  <c r="F660" i="1"/>
  <c r="F664" i="1" s="1"/>
  <c r="F672" i="1" s="1"/>
  <c r="C4" i="10" s="1"/>
  <c r="I257" i="1"/>
  <c r="I271" i="1" s="1"/>
  <c r="C16" i="10"/>
  <c r="G257" i="1"/>
  <c r="G271" i="1" s="1"/>
  <c r="C11" i="10"/>
  <c r="E33" i="13"/>
  <c r="D35" i="13" s="1"/>
  <c r="G476" i="1"/>
  <c r="H623" i="1" s="1"/>
  <c r="J623" i="1" s="1"/>
  <c r="J634" i="1"/>
  <c r="G661" i="1"/>
  <c r="H661" i="1"/>
  <c r="H664" i="1" s="1"/>
  <c r="D127" i="2"/>
  <c r="D128" i="2" s="1"/>
  <c r="D145" i="2" s="1"/>
  <c r="L362" i="1"/>
  <c r="C27" i="10" s="1"/>
  <c r="C62" i="2"/>
  <c r="C63" i="2" s="1"/>
  <c r="C104" i="2" s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L338" i="1"/>
  <c r="L352" i="1" s="1"/>
  <c r="G633" i="1" s="1"/>
  <c r="J633" i="1" s="1"/>
  <c r="C24" i="10"/>
  <c r="G660" i="1"/>
  <c r="G31" i="13"/>
  <c r="G33" i="13" s="1"/>
  <c r="I338" i="1"/>
  <c r="I352" i="1" s="1"/>
  <c r="J650" i="1"/>
  <c r="L407" i="1"/>
  <c r="C140" i="2" s="1"/>
  <c r="C141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D31" i="13" s="1"/>
  <c r="C31" i="13" s="1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42" i="2"/>
  <c r="G50" i="2" s="1"/>
  <c r="G51" i="2" s="1"/>
  <c r="J51" i="1"/>
  <c r="G16" i="2"/>
  <c r="J19" i="1"/>
  <c r="G621" i="1" s="1"/>
  <c r="F33" i="13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6" i="1"/>
  <c r="H648" i="1"/>
  <c r="J648" i="1" s="1"/>
  <c r="J652" i="1"/>
  <c r="G571" i="1"/>
  <c r="I434" i="1"/>
  <c r="G434" i="1"/>
  <c r="E104" i="2"/>
  <c r="I663" i="1"/>
  <c r="L545" i="1" l="1"/>
  <c r="C144" i="2"/>
  <c r="G664" i="1"/>
  <c r="G667" i="1" s="1"/>
  <c r="E115" i="2"/>
  <c r="E145" i="2" s="1"/>
  <c r="I461" i="1"/>
  <c r="H642" i="1" s="1"/>
  <c r="J642" i="1" s="1"/>
  <c r="C145" i="2"/>
  <c r="G672" i="1"/>
  <c r="C5" i="10" s="1"/>
  <c r="C28" i="10"/>
  <c r="D23" i="10" s="1"/>
  <c r="F667" i="1"/>
  <c r="G635" i="1"/>
  <c r="J635" i="1" s="1"/>
  <c r="H667" i="1"/>
  <c r="H672" i="1"/>
  <c r="C6" i="10" s="1"/>
  <c r="I661" i="1"/>
  <c r="I660" i="1"/>
  <c r="C51" i="2"/>
  <c r="G631" i="1"/>
  <c r="J631" i="1" s="1"/>
  <c r="D33" i="13"/>
  <c r="D36" i="13" s="1"/>
  <c r="J646" i="1"/>
  <c r="G193" i="1"/>
  <c r="G628" i="1" s="1"/>
  <c r="J628" i="1" s="1"/>
  <c r="G626" i="1"/>
  <c r="J626" i="1" s="1"/>
  <c r="J52" i="1"/>
  <c r="H621" i="1" s="1"/>
  <c r="J621" i="1" s="1"/>
  <c r="C38" i="10"/>
  <c r="D20" i="10" l="1"/>
  <c r="D27" i="10"/>
  <c r="D18" i="10"/>
  <c r="D10" i="10"/>
  <c r="D13" i="10"/>
  <c r="D15" i="10"/>
  <c r="D26" i="10"/>
  <c r="D17" i="10"/>
  <c r="D25" i="10"/>
  <c r="D12" i="10"/>
  <c r="D19" i="10"/>
  <c r="D11" i="10"/>
  <c r="C30" i="10"/>
  <c r="D21" i="10"/>
  <c r="D16" i="10"/>
  <c r="D24" i="10"/>
  <c r="D22" i="10"/>
  <c r="I664" i="1"/>
  <c r="I672" i="1" s="1"/>
  <c r="C7" i="10" s="1"/>
  <c r="H656" i="1"/>
  <c r="C41" i="10"/>
  <c r="D38" i="10" s="1"/>
  <c r="D28" i="10" l="1"/>
  <c r="I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<sst xmlns="http://schemas.openxmlformats.org/spreadsheetml/2006/main" count="3975" uniqueCount="928">
  <si>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</si>
  <si>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</si>
  <si>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</si>
  <si>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</si>
  <si>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</si>
  <si>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</si>
  <si>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</si>
  <si>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</si>
  <si>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</si>
  <si>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</si>
  <si>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</si>
  <si>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</si>
  <si>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</si>
  <si>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</si>
  <si>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</si>
  <si>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</si>
  <si>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</si>
  <si>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</si>
  <si>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</si>
  <si>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</si>
  <si>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</si>
  <si>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</si>
  <si>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</si>
  <si>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</si>
  <si>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</si>
  <si>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</si>
  <si>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</si>
  <si>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</si>
  <si>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</si>
  <si>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</si>
  <si>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</si>
  <si>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</si>
  <si>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</si>
  <si>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</si>
  <si>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</si>
  <si>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</si>
  <si>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</si>
  <si>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</si>
  <si>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</si>
  <si>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</si>
  <si>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</si>
  <si>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</si>
  <si>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</si>
  <si>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</si>
  <si>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</si>
  <si>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</si>
  <si>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</si>
  <si>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</si>
  <si>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</si>
  <si>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</si>
  <si>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</si>
  <si>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</si>
  <si>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</si>
  <si>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</si>
  <si>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</si>
  <si>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</si>
  <si>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</si>
  <si>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</si>
  <si>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</si>
  <si>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</si>
  <si>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</si>
  <si>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</si>
  <si>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</si>
  <si>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</si>
  <si>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</si>
  <si>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</si>
  <si>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</si>
  <si>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</si>
  <si>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</si>
  <si>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</si>
  <si>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</si>
  <si>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</si>
  <si>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</si>
  <si>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</si>
  <si>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</si>
  <si>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</si>
  <si>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</si>
  <si>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</si>
  <si>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</si>
  <si>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</si>
  <si>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</si>
  <si>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</si>
  <si>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</si>
  <si>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</si>
  <si>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</si>
  <si>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</si>
  <si>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</si>
  <si>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</si>
  <si>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</si>
  <si>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</si>
  <si>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</si>
  <si>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</si>
  <si>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</si>
  <si>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</si>
  <si>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</si>
  <si>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</si>
  <si>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</si>
  <si>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</si>
  <si>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</si>
  <si>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</si>
  <si>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</si>
  <si>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</si>
  <si>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</si>
  <si>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</si>
  <si>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</si>
  <si>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</si>
  <si>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</si>
  <si>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</si>
  <si>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</si>
  <si>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</si>
  <si>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</si>
  <si>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</si>
  <si>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</si>
  <si>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</si>
  <si>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</si>
  <si>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</si>
  <si>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</si>
  <si>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</si>
  <si>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</si>
  <si>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</si>
  <si>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</si>
  <si>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</si>
  <si>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</si>
  <si>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</si>
  <si>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</si>
  <si>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</si>
  <si>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</si>
  <si>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</si>
  <si>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</si>
  <si>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</si>
  <si>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</si>
  <si>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</si>
  <si>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</si>
  <si>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</si>
  <si>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</si>
  <si>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</si>
  <si>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</si>
  <si>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</si>
  <si>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</si>
  <si>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</si>
  <si>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</si>
  <si>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</si>
  <si>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</si>
  <si>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</si>
  <si>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</si>
  <si>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</si>
  <si>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</si>
  <si>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</si>
  <si>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</si>
  <si>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</si>
  <si>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</si>
  <si>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</si>
  <si>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</si>
  <si>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</si>
  <si>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</si>
  <si>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</si>
  <si>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</si>
  <si>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</si>
  <si>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</si>
  <si>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</si>
  <si>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</si>
  <si>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</si>
  <si>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</si>
  <si>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</si>
  <si>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</si>
  <si>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</si>
  <si>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</si>
  <si>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</si>
  <si>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</si>
  <si>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</si>
  <si>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</si>
  <si>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</si>
  <si>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</si>
  <si>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</si>
  <si>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</si>
  <si>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</si>
  <si>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</si>
  <si>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</si>
  <si>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</si>
  <si>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</si>
  <si>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</si>
  <si>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</si>
  <si>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</si>
  <si>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</si>
  <si>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</si>
  <si>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</si>
  <si>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</si>
  <si>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</si>
  <si>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</si>
  <si>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</si>
  <si>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</si>
  <si>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</si>
  <si>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</si>
  <si>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</si>
  <si>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</si>
  <si>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</si>
  <si>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</si>
  <si>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</si>
  <si>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</si>
  <si>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</si>
  <si>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</si>
  <si>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</si>
  <si>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</si>
  <si>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</si>
  <si>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</si>
  <si>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</si>
  <si>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</si>
  <si>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</si>
  <si>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</si>
  <si>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</si>
  <si>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</si>
  <si>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</si>
  <si>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</si>
  <si>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</si>
  <si>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</si>
  <si>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</si>
  <si>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</si>
  <si>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</si>
  <si>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</si>
  <si>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</si>
  <si>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</si>
  <si>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</si>
  <si>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</si>
  <si>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</si>
  <si>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</si>
  <si>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</si>
  <si>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</si>
  <si>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</si>
  <si>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</si>
  <si>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</si>
  <si>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</si>
  <si>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</si>
  <si>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</si>
  <si>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</si>
  <si>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</si>
  <si>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</si>
  <si>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</si>
  <si>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</si>
  <si>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</si>
  <si>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</si>
  <si>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</si>
  <si>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</si>
  <si>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</si>
  <si>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</si>
  <si>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</si>
  <si>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</si>
  <si>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</si>
  <si>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</si>
  <si>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</si>
  <si>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</si>
  <si>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</si>
  <si>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</si>
  <si>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</si>
  <si>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</si>
  <si>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</si>
  <si>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</si>
  <si>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</si>
  <si>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</si>
  <si>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</si>
  <si>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</si>
  <si>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</si>
  <si>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</si>
  <si>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</si>
  <si>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</si>
  <si>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</si>
  <si>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</si>
  <si>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</si>
  <si>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</si>
  <si>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</si>
  <si>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</si>
  <si>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</si>
  <si>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</si>
  <si>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</si>
  <si>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</si>
  <si>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</si>
  <si>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</si>
  <si>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</si>
  <si>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</si>
  <si>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</si>
  <si>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</si>
  <si>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</si>
  <si>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</si>
  <si>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</si>
  <si>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</si>
  <si>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</si>
  <si>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</si>
  <si>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</si>
  <si>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</si>
  <si>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</si>
  <si>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</si>
  <si>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</si>
  <si>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</si>
  <si>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</si>
  <si>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</si>
  <si>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</si>
  <si>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</si>
  <si>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</si>
  <si>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</si>
  <si>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</si>
  <si>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</si>
  <si>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</si>
  <si>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</si>
  <si>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</si>
  <si>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</si>
  <si>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</si>
  <si>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</si>
  <si>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</si>
  <si>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</si>
  <si>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</si>
  <si>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</si>
  <si>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</si>
  <si>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</si>
  <si>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</si>
  <si>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</si>
  <si>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</si>
  <si>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</si>
  <si>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</si>
  <si>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</si>
  <si>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</si>
  <si>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</si>
  <si>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</si>
  <si>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</si>
  <si>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</si>
  <si>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</si>
  <si>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</si>
  <si>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</si>
  <si>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</si>
  <si>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</si>
  <si>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</si>
  <si>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</si>
  <si>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</si>
  <si>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</si>
  <si>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</si>
  <si>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</si>
  <si>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</si>
  <si>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</si>
  <si>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</si>
  <si>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</si>
  <si>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</si>
  <si>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</si>
  <si>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</si>
  <si>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</si>
  <si>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</si>
  <si>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</si>
  <si>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</si>
  <si>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</si>
  <si>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</si>
  <si>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</si>
  <si>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</si>
  <si>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</si>
  <si>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</si>
  <si>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</si>
  <si>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</si>
  <si>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</si>
  <si>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</si>
  <si>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</si>
  <si>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</si>
  <si>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</si>
  <si>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</si>
  <si>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</si>
  <si>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</si>
  <si>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</si>
  <si>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</si>
  <si>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</si>
  <si>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</si>
  <si>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</si>
  <si>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</si>
  <si>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</si>
  <si>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</si>
  <si>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</si>
  <si>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</si>
  <si>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</si>
  <si>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</si>
  <si>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</si>
  <si>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</si>
  <si>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</si>
  <si>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</si>
  <si>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</si>
  <si>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</si>
  <si>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</si>
  <si>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</si>
  <si>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</si>
  <si>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</si>
  <si>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</si>
  <si>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</si>
  <si>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</si>
  <si>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</si>
  <si>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</si>
  <si>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</si>
  <si>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</si>
  <si>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</si>
  <si>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</si>
  <si>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</si>
  <si>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</si>
  <si>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</si>
  <si>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</si>
  <si>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</si>
  <si>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</si>
  <si>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</si>
  <si>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</si>
  <si>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</si>
  <si>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</si>
  <si>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</si>
  <si>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</si>
  <si>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</si>
  <si>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</si>
  <si>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</si>
  <si>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</si>
  <si>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</si>
  <si>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</si>
  <si>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</si>
  <si>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</si>
  <si>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</si>
  <si>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</si>
  <si>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</si>
  <si>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</si>
  <si>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</si>
  <si>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</si>
  <si>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</si>
  <si>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</si>
  <si>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</si>
  <si>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</si>
  <si>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</si>
  <si>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</si>
  <si>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</si>
  <si>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</si>
  <si>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</si>
  <si>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</si>
  <si>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</si>
  <si>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</si>
  <si>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</si>
  <si>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</si>
  <si>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</si>
  <si>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</si>
  <si>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</si>
  <si>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</si>
  <si>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</si>
  <si>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</si>
  <si>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</si>
  <si>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</si>
  <si>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</si>
  <si>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</si>
  <si>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</si>
  <si>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</si>
  <si>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</si>
  <si>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</si>
  <si>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</si>
  <si>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</si>
  <si>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</si>
  <si>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</si>
  <si>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</si>
  <si>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</si>
  <si>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</si>
  <si>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</si>
  <si>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</si>
  <si>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</si>
  <si>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</si>
  <si>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</si>
  <si>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</si>
  <si>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</si>
  <si>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</si>
  <si>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</si>
  <si>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</si>
  <si>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</si>
  <si>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</si>
  <si>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</si>
  <si>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</si>
  <si>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</si>
  <si>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</si>
  <si>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</si>
  <si>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</si>
  <si>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</si>
  <si>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</si>
  <si>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</si>
  <si>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</si>
  <si>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</si>
  <si>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</si>
  <si>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</si>
  <si>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</si>
  <si>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</si>
  <si>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</si>
  <si>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</si>
  <si>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</si>
  <si>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</si>
  <si>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</si>
  <si>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</si>
  <si>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</si>
  <si>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</si>
  <si>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</si>
  <si>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</si>
  <si>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</si>
  <si>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</si>
  <si>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</si>
  <si>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</si>
  <si>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</si>
  <si>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</si>
  <si>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</si>
  <si>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</si>
  <si>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</si>
  <si>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</si>
  <si>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</si>
  <si>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</si>
  <si>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</si>
  <si>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</si>
  <si>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</si>
  <si>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</si>
  <si>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</si>
  <si>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</si>
  <si>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</si>
  <si>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</si>
  <si>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</si>
  <si>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</si>
  <si>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</si>
  <si>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</si>
  <si>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</si>
  <si>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</si>
  <si>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</si>
  <si>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</si>
  <si>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</si>
  <si>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</si>
  <si>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</si>
  <si>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</si>
  <si>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</si>
  <si>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</si>
  <si>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</si>
  <si>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</si>
  <si>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</si>
  <si>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</si>
  <si>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</si>
  <si>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</si>
  <si>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</si>
  <si>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</si>
  <si>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</si>
  <si>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</si>
  <si>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</si>
  <si>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</si>
  <si>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</si>
  <si>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</si>
  <si>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</si>
  <si>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</si>
  <si>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</si>
  <si>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</si>
  <si>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</si>
  <si>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</si>
  <si>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</si>
  <si>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</si>
  <si>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</si>
  <si>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</si>
  <si>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</si>
  <si>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</si>
  <si>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</si>
  <si>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</si>
  <si>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</si>
  <si>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</si>
  <si>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</si>
  <si>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</si>
  <si>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</si>
  <si>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</si>
  <si>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</si>
  <si>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</si>
  <si>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</si>
  <si>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</si>
  <si>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</si>
  <si>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</si>
  <si>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</si>
  <si>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</si>
  <si>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</si>
  <si>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</si>
  <si>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</si>
  <si>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</si>
  <si>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</si>
  <si>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</si>
  <si>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</si>
  <si>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</si>
  <si>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</si>
  <si>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</si>
  <si>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</si>
  <si>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</si>
  <si>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</si>
  <si>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</si>
  <si>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</si>
  <si>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</si>
  <si>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</si>
  <si>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</si>
  <si>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</si>
  <si>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</si>
  <si>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</si>
  <si>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</si>
  <si>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</si>
  <si>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</si>
  <si>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</si>
  <si>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</si>
  <si>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</si>
  <si>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</si>
  <si>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</si>
  <si>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</si>
  <si>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</si>
  <si>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</si>
  <si>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</si>
  <si>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</si>
  <si>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</si>
  <si>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</si>
  <si>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</si>
  <si>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</si>
  <si>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</si>
  <si>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</si>
  <si>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</si>
  <si>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</si>
  <si>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</si>
  <si>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</si>
  <si>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</si>
  <si>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</si>
  <si>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</si>
  <si>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</si>
  <si>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</si>
  <si>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</si>
  <si>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</si>
  <si>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</si>
  <si>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</si>
  <si>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</si>
  <si>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</si>
  <si>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</si>
  <si>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</si>
  <si>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</si>
  <si>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</si>
  <si>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</si>
  <si>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</si>
  <si>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</si>
  <si>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</si>
  <si>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</si>
  <si>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</si>
  <si>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</si>
  <si>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</si>
  <si>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</si>
  <si>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</si>
  <si>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</si>
  <si>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</si>
  <si>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</si>
  <si>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</si>
  <si>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</si>
  <si>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</si>
  <si>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</si>
  <si>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</si>
  <si>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</si>
  <si>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</si>
  <si>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</si>
  <si>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</si>
  <si>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</si>
  <si>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</si>
  <si>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</si>
  <si>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</si>
  <si>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</si>
  <si>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</si>
  <si>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</si>
  <si>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</si>
  <si>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</si>
  <si>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</si>
  <si>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</si>
  <si>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</si>
  <si>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</si>
  <si>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</si>
  <si>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</si>
  <si>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</si>
  <si>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</si>
  <si>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</si>
  <si>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</si>
  <si>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</si>
  <si>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</si>
  <si>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</si>
  <si>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</si>
  <si>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</si>
  <si>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</si>
  <si>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</si>
  <si>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</si>
  <si>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</si>
  <si>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</si>
  <si>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</si>
  <si>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</si>
  <si>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</si>
  <si>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</si>
  <si>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</si>
  <si>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</si>
  <si>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</si>
  <si>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</si>
  <si>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</si>
  <si>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</si>
  <si>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</si>
  <si>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</si>
  <si>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</si>
  <si>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</si>
  <si>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</si>
  <si>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</si>
  <si>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</si>
  <si>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</si>
  <si>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</si>
  <si>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</si>
  <si>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</si>
  <si>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</si>
  <si>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</si>
  <si>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</si>
  <si>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</si>
  <si>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</si>
  <si>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</si>
  <si>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</si>
  <si>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</si>
  <si>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</si>
  <si>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</si>
  <si>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</si>
  <si>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</si>
  <si>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</si>
  <si>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</si>
  <si>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</si>
  <si>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</si>
  <si>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</si>
  <si>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</si>
  <si>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</si>
  <si>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</si>
  <si>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</si>
  <si>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</si>
  <si>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</si>
  <si>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</si>
  <si>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</si>
  <si>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</si>
  <si>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</si>
  <si>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</si>
  <si>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</si>
  <si>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</si>
  <si>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</si>
  <si>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</si>
  <si>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</si>
  <si>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</si>
  <si>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</si>
  <si>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</si>
  <si>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</si>
  <si>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</si>
  <si>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</si>
  <si>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</si>
  <si>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</si>
  <si>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</si>
  <si>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</si>
  <si>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</si>
  <si>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</si>
  <si>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</si>
  <si>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</si>
  <si>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</si>
  <si>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</si>
  <si>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</si>
  <si>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</si>
  <si>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</si>
  <si>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</si>
  <si>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</si>
  <si>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</si>
  <si>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</si>
  <si>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</si>
  <si>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</si>
  <si>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</si>
  <si>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</si>
  <si>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</si>
  <si>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</si>
  <si>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</si>
  <si>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</si>
  <si>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</si>
  <si>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</si>
  <si>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</si>
  <si>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</si>
  <si>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</si>
  <si>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</si>
  <si>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</si>
  <si>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</si>
  <si>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</si>
  <si>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</si>
  <si>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</si>
  <si>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</si>
  <si>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</si>
  <si>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</si>
  <si>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</si>
  <si>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</si>
  <si>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</si>
  <si>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</si>
  <si>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</si>
  <si>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</si>
  <si>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</si>
  <si>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</si>
  <si>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</si>
  <si>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</si>
  <si>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</si>
  <si>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</si>
  <si>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</si>
  <si>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</si>
  <si>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</si>
  <si>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</si>
  <si>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</si>
  <si>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</si>
  <si>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</si>
  <si>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</si>
  <si>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</si>
  <si>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</si>
  <si>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</si>
  <si>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</si>
  <si>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</si>
  <si>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</si>
  <si>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</si>
  <si>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</si>
  <si>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</si>
  <si>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</si>
  <si>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</si>
  <si>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</si>
  <si>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</si>
  <si>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</si>
  <si>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</si>
  <si>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</si>
  <si>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</si>
  <si>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</si>
  <si>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</si>
  <si>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</si>
  <si>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</si>
  <si>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</si>
  <si>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</si>
  <si>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</si>
  <si>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</si>
  <si>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</si>
  <si>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</si>
  <si>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</si>
  <si>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</si>
  <si>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</si>
  <si>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</si>
  <si>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</si>
  <si>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</si>
  <si>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</si>
  <si>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</si>
  <si>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</si>
  <si>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</si>
  <si>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</si>
  <si>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</si>
  <si>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</si>
  <si>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</si>
  <si>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</si>
  <si>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</si>
  <si>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</si>
  <si>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</si>
  <si>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</si>
  <si>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</si>
  <si>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</si>
  <si>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</si>
  <si>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</si>
  <si>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</si>
  <si>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</si>
  <si>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</si>
  <si>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</si>
  <si>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</si>
  <si>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</si>
  <si>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</si>
  <si>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</si>
  <si>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</si>
  <si>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</si>
  <si>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</si>
  <si>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</si>
  <si>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</si>
  <si>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</si>
  <si>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</si>
  <si>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</si>
  <si>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</si>
  <si>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</si>
  <si>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</si>
  <si>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</si>
  <si>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</si>
  <si>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</si>
  <si>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</si>
  <si>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</si>
  <si>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</si>
  <si>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</si>
  <si>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</si>
  <si>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</si>
  <si>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</si>
  <si>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</si>
  <si>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</si>
  <si>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</si>
  <si>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</si>
  <si>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</si>
  <si>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</si>
  <si>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</si>
  <si>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</si>
  <si>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</si>
  <si>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</si>
  <si>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</si>
  <si>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</si>
  <si>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</si>
  <si>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</si>
  <si>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</si>
  <si>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</si>
  <si>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</si>
  <si>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</si>
  <si>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</si>
  <si>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</si>
  <si>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</si>
  <si>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</si>
  <si>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</si>
  <si>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</si>
  <si>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</si>
  <si>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</si>
  <si>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</si>
  <si>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</si>
  <si>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</si>
  <si>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</si>
  <si>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</si>
  <si>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</si>
  <si>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</si>
  <si>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</si>
  <si>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</si>
  <si>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</si>
  <si>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</si>
  <si>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VARIES</t>
  </si>
  <si>
    <t>PRIOR TO 2020</t>
  </si>
  <si>
    <t>7/1/01</t>
  </si>
  <si>
    <t>7/1/21</t>
  </si>
  <si>
    <t>7/1/03</t>
  </si>
  <si>
    <t>7/1/23</t>
  </si>
  <si>
    <t>7/1/05</t>
  </si>
  <si>
    <t>7/1/25</t>
  </si>
  <si>
    <t>AFTER 2027</t>
  </si>
  <si>
    <t>Rochester School Department</t>
  </si>
  <si>
    <t>6 Col. 1</t>
  </si>
  <si>
    <t>turned over to the city.</t>
  </si>
  <si>
    <t>3 Col. 2</t>
  </si>
  <si>
    <t>6 Col. 2</t>
  </si>
  <si>
    <t>$18,689.17 is beginning inventory</t>
  </si>
  <si>
    <t>$16,454.22 is ending inventory</t>
  </si>
  <si>
    <t>The $ 109,733.51 is made up of $ 30,149.16 in excess revenue and $ 79,584.35 in appropriation not spent that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</si>
</sst>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2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920</v>
      </c>
      <c r="B2" s="21">
        <v>461</v>
      </c>
      <c r="C2" s="21">
        <v>461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/>
      <c r="G9" s="18"/>
      <c r="H9" s="18"/>
      <c r="I9" s="18">
        <v>13466650.619999999</v>
      </c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/>
      <c r="H13" s="18">
        <v>890757.03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>
        <f>80925.21+16656.79</f>
        <v>97582</v>
      </c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16454.22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0</v>
      </c>
      <c r="G19" s="41">
        <f>SUM(G9:G18)</f>
        <v>114036.22</v>
      </c>
      <c r="H19" s="41">
        <f>SUM(H9:H18)</f>
        <v>890757.03</v>
      </c>
      <c r="I19" s="41">
        <f>SUM(I9:I18)</f>
        <v>13466650.619999999</v>
      </c>
      <c r="J19" s="41">
        <f>SUM(J9:J18)</f>
        <v>0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f>16346.29+80089.5</f>
        <v>96435.790000000008</v>
      </c>
      <c r="H22" s="18">
        <v>883120.1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/>
      <c r="G24" s="18">
        <f>310.5+835.71</f>
        <v>1146.21</v>
      </c>
      <c r="H24" s="18">
        <v>1554.04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0</v>
      </c>
      <c r="G32" s="41">
        <f>SUM(G22:G31)</f>
        <v>97582.000000000015</v>
      </c>
      <c r="H32" s="41">
        <f>SUM(H22:H31)</f>
        <v>884674.14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16454.22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>
        <v>10140100.289999999</v>
      </c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>
        <v>6082.89</v>
      </c>
      <c r="I48" s="18">
        <v>3326550.33</v>
      </c>
      <c r="J48" s="13">
        <f>SUM(I459)</f>
        <v>0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/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0</v>
      </c>
      <c r="G51" s="41">
        <f>SUM(G35:G50)</f>
        <v>16454.22</v>
      </c>
      <c r="H51" s="41">
        <f>SUM(H35:H50)</f>
        <v>6082.89</v>
      </c>
      <c r="I51" s="41">
        <f>SUM(I35:I50)</f>
        <v>13466650.619999999</v>
      </c>
      <c r="J51" s="41">
        <f>SUM(J35:J50)</f>
        <v>0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0</v>
      </c>
      <c r="G52" s="41">
        <f>G51+G32</f>
        <v>114036.22000000002</v>
      </c>
      <c r="H52" s="41">
        <f>H51+H32</f>
        <v>890757.03</v>
      </c>
      <c r="I52" s="41">
        <f>I51+I32</f>
        <v>13466650.619999999</v>
      </c>
      <c r="J52" s="41">
        <f>J51+J32</f>
        <v>0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24651302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24651302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>
        <v>7450</v>
      </c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>
        <v>1926873.96</v>
      </c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f>140686.18+7032.61</f>
        <v>147718.78999999998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>
        <v>18806.68</v>
      </c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2100849.4300000002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/>
      <c r="G96" s="18"/>
      <c r="H96" s="18"/>
      <c r="I96" s="18"/>
      <c r="J96" s="18"/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683524.08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>
        <v>10062</v>
      </c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>
        <v>29852</v>
      </c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233.75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758671.35+57984</f>
        <v>816655.35</v>
      </c>
      <c r="G110" s="18">
        <v>15684.55</v>
      </c>
      <c r="H110" s="18"/>
      <c r="I110" s="18">
        <v>13466650.619999999</v>
      </c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856803.1</v>
      </c>
      <c r="G111" s="41">
        <f>SUM(G96:G110)</f>
        <v>699208.63</v>
      </c>
      <c r="H111" s="41">
        <f>SUM(H96:H110)</f>
        <v>0</v>
      </c>
      <c r="I111" s="41">
        <f>SUM(I96:I110)</f>
        <v>13466650.619999999</v>
      </c>
      <c r="J111" s="41">
        <f>SUM(J96:J110)</f>
        <v>0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27608954.530000001</v>
      </c>
      <c r="G112" s="41">
        <f>G60+G111</f>
        <v>699208.63</v>
      </c>
      <c r="H112" s="41">
        <f>H60+H79+H94+H111</f>
        <v>0</v>
      </c>
      <c r="I112" s="41">
        <f>I60+I111</f>
        <v>13466650.619999999</v>
      </c>
      <c r="J112" s="41">
        <f>J60+J111</f>
        <v>0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22782520.199999999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4839669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27622189.199999999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838299.2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321049.18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>
        <v>31116.42</v>
      </c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29035.46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22913.25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>
        <v>78070.8</v>
      </c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1219500.2599999998</v>
      </c>
      <c r="G136" s="41">
        <f>SUM(G123:G135)</f>
        <v>100984.05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28841689.460000001</v>
      </c>
      <c r="G140" s="41">
        <f>G121+SUM(G136:G137)</f>
        <v>100984.05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>
        <f>72069.49+5135.78</f>
        <v>77205.27</v>
      </c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77205.27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1324271.78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506797.19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>
        <v>145604.89000000001</v>
      </c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>
        <v>27805.94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1031030.64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1086678.8400000001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879684.31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>
        <f>343502.04+550</f>
        <v>344052.04</v>
      </c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879684.31</v>
      </c>
      <c r="G162" s="41">
        <f>SUM(G150:G161)</f>
        <v>1031030.64</v>
      </c>
      <c r="H162" s="41">
        <f>SUM(H150:H161)</f>
        <v>3435210.6799999997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>
        <v>66267.59</v>
      </c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1023157.17</v>
      </c>
      <c r="G169" s="41">
        <f>G147+G162+SUM(G163:G168)</f>
        <v>1031030.64</v>
      </c>
      <c r="H169" s="41">
        <f>H147+H162+SUM(H163:H168)</f>
        <v>3435210.6799999997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57473801.160000004</v>
      </c>
      <c r="G193" s="47">
        <f>G112+G140+G169+G192</f>
        <v>1831223.32</v>
      </c>
      <c r="H193" s="47">
        <f>H112+H140+H169+H192</f>
        <v>3435210.6799999997</v>
      </c>
      <c r="I193" s="47">
        <f>I112+I140+I169+I192</f>
        <v>13466650.619999999</v>
      </c>
      <c r="J193" s="47">
        <f>J112+J140+J192</f>
        <v>0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7345163.25</v>
      </c>
      <c r="G197" s="18">
        <v>2717192.5</v>
      </c>
      <c r="H197" s="18">
        <v>100258.05</v>
      </c>
      <c r="I197" s="18">
        <v>212676.71</v>
      </c>
      <c r="J197" s="18">
        <v>9554.14</v>
      </c>
      <c r="K197" s="18"/>
      <c r="L197" s="19">
        <f>SUM(F197:K197)</f>
        <v>10384844.650000002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4705130.1100000003</v>
      </c>
      <c r="G198" s="18">
        <v>1685255.4</v>
      </c>
      <c r="H198" s="18">
        <v>1327796.04</v>
      </c>
      <c r="I198" s="18">
        <v>22054.19</v>
      </c>
      <c r="J198" s="18">
        <v>992.86</v>
      </c>
      <c r="K198" s="18"/>
      <c r="L198" s="19">
        <f>SUM(F198:K198)</f>
        <v>7741228.6000000006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687866.52</v>
      </c>
      <c r="G202" s="18">
        <v>291919.64</v>
      </c>
      <c r="H202" s="18">
        <v>1594.91</v>
      </c>
      <c r="I202" s="18">
        <v>3659.53</v>
      </c>
      <c r="J202" s="18">
        <v>3447.21</v>
      </c>
      <c r="K202" s="18"/>
      <c r="L202" s="19">
        <f t="shared" ref="L202:L208" si="0">SUM(F202:K202)</f>
        <v>988487.81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375341.87</v>
      </c>
      <c r="G203" s="18">
        <v>237484.64</v>
      </c>
      <c r="H203" s="18">
        <v>170837.89</v>
      </c>
      <c r="I203" s="18">
        <v>81760.490000000005</v>
      </c>
      <c r="J203" s="18">
        <v>52637.33</v>
      </c>
      <c r="K203" s="18">
        <v>409.76</v>
      </c>
      <c r="L203" s="19">
        <f t="shared" si="0"/>
        <v>918471.98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451272.66</v>
      </c>
      <c r="G204" s="18">
        <v>164162.1</v>
      </c>
      <c r="H204" s="18">
        <v>101841.60000000001</v>
      </c>
      <c r="I204" s="18">
        <v>10027.290000000001</v>
      </c>
      <c r="J204" s="18">
        <v>21209.439999999999</v>
      </c>
      <c r="K204" s="18">
        <v>15259.5</v>
      </c>
      <c r="L204" s="19">
        <f t="shared" si="0"/>
        <v>763772.59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1219835.8</v>
      </c>
      <c r="G205" s="18">
        <v>574711.80000000005</v>
      </c>
      <c r="H205" s="18">
        <v>2692</v>
      </c>
      <c r="I205" s="18">
        <v>2427.0100000000002</v>
      </c>
      <c r="J205" s="18">
        <v>922.57</v>
      </c>
      <c r="K205" s="18">
        <v>3197</v>
      </c>
      <c r="L205" s="19">
        <f t="shared" si="0"/>
        <v>1803786.1800000002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>
        <v>144553</v>
      </c>
      <c r="G206" s="18">
        <v>61414.74</v>
      </c>
      <c r="H206" s="18">
        <v>13951.85</v>
      </c>
      <c r="I206" s="18">
        <v>2165.6799999999998</v>
      </c>
      <c r="J206" s="18"/>
      <c r="K206" s="18">
        <v>31087.93</v>
      </c>
      <c r="L206" s="19">
        <f t="shared" si="0"/>
        <v>253173.19999999998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736354.88</v>
      </c>
      <c r="G207" s="18">
        <v>338112.41</v>
      </c>
      <c r="H207" s="18">
        <v>363844.35</v>
      </c>
      <c r="I207" s="18">
        <v>411589.89</v>
      </c>
      <c r="J207" s="18">
        <v>7877.48</v>
      </c>
      <c r="K207" s="18">
        <v>298.35000000000002</v>
      </c>
      <c r="L207" s="19">
        <f t="shared" si="0"/>
        <v>1858077.3600000003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687892.57</v>
      </c>
      <c r="I208" s="18"/>
      <c r="J208" s="18"/>
      <c r="K208" s="18"/>
      <c r="L208" s="19">
        <f t="shared" si="0"/>
        <v>687892.57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>
        <v>954.53</v>
      </c>
      <c r="H209" s="18"/>
      <c r="I209" s="18"/>
      <c r="J209" s="18"/>
      <c r="K209" s="18"/>
      <c r="L209" s="19">
        <f>SUM(F209:K209)</f>
        <v>954.53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15665518.09</v>
      </c>
      <c r="G211" s="41">
        <f t="shared" si="1"/>
        <v>6071207.7599999998</v>
      </c>
      <c r="H211" s="41">
        <f t="shared" si="1"/>
        <v>2770709.2600000002</v>
      </c>
      <c r="I211" s="41">
        <f t="shared" si="1"/>
        <v>746360.79</v>
      </c>
      <c r="J211" s="41">
        <f t="shared" si="1"/>
        <v>96641.030000000013</v>
      </c>
      <c r="K211" s="41">
        <f t="shared" si="1"/>
        <v>50252.54</v>
      </c>
      <c r="L211" s="41">
        <f t="shared" si="1"/>
        <v>25400689.470000003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>
        <v>3629675.54</v>
      </c>
      <c r="G215" s="18">
        <v>1579696.48</v>
      </c>
      <c r="H215" s="18">
        <v>46976.13</v>
      </c>
      <c r="I215" s="18">
        <v>74244.39</v>
      </c>
      <c r="J215" s="18">
        <v>6303.67</v>
      </c>
      <c r="K215" s="18">
        <v>1490</v>
      </c>
      <c r="L215" s="19">
        <f>SUM(F215:K215)</f>
        <v>5338386.209999999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>
        <v>1481955.47</v>
      </c>
      <c r="G216" s="18">
        <v>691408.92</v>
      </c>
      <c r="H216" s="18">
        <v>1069765.94</v>
      </c>
      <c r="I216" s="18">
        <v>8543.07</v>
      </c>
      <c r="J216" s="18">
        <v>440.31</v>
      </c>
      <c r="K216" s="18"/>
      <c r="L216" s="19">
        <f>SUM(F216:K216)</f>
        <v>3252113.71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>
        <v>34402.29</v>
      </c>
      <c r="G218" s="18">
        <v>8975.0300000000007</v>
      </c>
      <c r="H218" s="18">
        <v>5564.95</v>
      </c>
      <c r="I218" s="18">
        <v>1662.89</v>
      </c>
      <c r="J218" s="18">
        <v>4325.91</v>
      </c>
      <c r="K218" s="18">
        <v>5250.91</v>
      </c>
      <c r="L218" s="19">
        <f>SUM(F218:K218)</f>
        <v>60181.979999999996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>
        <v>511177.19</v>
      </c>
      <c r="G220" s="18">
        <v>214635.78</v>
      </c>
      <c r="H220" s="18">
        <v>897.66</v>
      </c>
      <c r="I220" s="18">
        <v>1800.61</v>
      </c>
      <c r="J220" s="18">
        <v>1719.38</v>
      </c>
      <c r="K220" s="18"/>
      <c r="L220" s="19">
        <f t="shared" ref="L220:L226" si="2">SUM(F220:K220)</f>
        <v>730230.62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>
        <v>194597.15</v>
      </c>
      <c r="G221" s="18">
        <v>118496.69</v>
      </c>
      <c r="H221" s="18">
        <v>85209.82</v>
      </c>
      <c r="I221" s="18">
        <v>17594.990000000002</v>
      </c>
      <c r="J221" s="18">
        <v>27389.09</v>
      </c>
      <c r="K221" s="18">
        <v>204.38</v>
      </c>
      <c r="L221" s="19">
        <f t="shared" si="2"/>
        <v>443492.12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225083.92</v>
      </c>
      <c r="G222" s="18">
        <v>81880.09</v>
      </c>
      <c r="H222" s="18">
        <v>50796.13</v>
      </c>
      <c r="I222" s="18">
        <v>5001.37</v>
      </c>
      <c r="J222" s="18">
        <v>10578.75</v>
      </c>
      <c r="K222" s="18">
        <v>7611.07</v>
      </c>
      <c r="L222" s="19">
        <f t="shared" si="2"/>
        <v>380951.33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>
        <v>292601.24</v>
      </c>
      <c r="G223" s="18">
        <v>148849.38</v>
      </c>
      <c r="H223" s="18">
        <v>4737.54</v>
      </c>
      <c r="I223" s="18">
        <v>6849.87</v>
      </c>
      <c r="J223" s="18"/>
      <c r="K223" s="18">
        <v>438</v>
      </c>
      <c r="L223" s="19">
        <f t="shared" si="2"/>
        <v>453476.02999999997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>
        <v>72099.539999999994</v>
      </c>
      <c r="G224" s="18">
        <v>30632.18</v>
      </c>
      <c r="H224" s="18">
        <v>6958.84</v>
      </c>
      <c r="I224" s="18">
        <v>1080.19</v>
      </c>
      <c r="J224" s="18"/>
      <c r="K224" s="18">
        <v>15505.91</v>
      </c>
      <c r="L224" s="19">
        <f t="shared" si="2"/>
        <v>126276.66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>
        <v>323381.74</v>
      </c>
      <c r="G225" s="18">
        <v>157416.9</v>
      </c>
      <c r="H225" s="18">
        <v>177505.61</v>
      </c>
      <c r="I225" s="18">
        <v>205621.72</v>
      </c>
      <c r="J225" s="18">
        <v>1511.6</v>
      </c>
      <c r="K225" s="18">
        <v>145.35</v>
      </c>
      <c r="L225" s="19">
        <f t="shared" si="2"/>
        <v>865582.91999999993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492938.61</v>
      </c>
      <c r="I226" s="18"/>
      <c r="J226" s="18"/>
      <c r="K226" s="18"/>
      <c r="L226" s="19">
        <f t="shared" si="2"/>
        <v>492938.61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>
        <v>476.1</v>
      </c>
      <c r="H227" s="18"/>
      <c r="I227" s="18"/>
      <c r="J227" s="18"/>
      <c r="K227" s="18"/>
      <c r="L227" s="19">
        <f>SUM(F227:K227)</f>
        <v>476.1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6764974.080000001</v>
      </c>
      <c r="G229" s="41">
        <f>SUM(G215:G228)</f>
        <v>3032467.5499999993</v>
      </c>
      <c r="H229" s="41">
        <f>SUM(H215:H228)</f>
        <v>1941351.2299999995</v>
      </c>
      <c r="I229" s="41">
        <f>SUM(I215:I228)</f>
        <v>322399.09999999998</v>
      </c>
      <c r="J229" s="41">
        <f>SUM(J215:J228)</f>
        <v>52268.71</v>
      </c>
      <c r="K229" s="41">
        <f t="shared" si="3"/>
        <v>30645.62</v>
      </c>
      <c r="L229" s="41">
        <f t="shared" si="3"/>
        <v>12144106.289999995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f>4237118.08-0.13</f>
        <v>4237117.95</v>
      </c>
      <c r="G233" s="18">
        <v>1718439.89</v>
      </c>
      <c r="H233" s="18">
        <v>63956.9</v>
      </c>
      <c r="I233" s="18">
        <v>66999.02</v>
      </c>
      <c r="J233" s="18">
        <v>19934.11</v>
      </c>
      <c r="K233" s="18">
        <v>28530</v>
      </c>
      <c r="L233" s="19">
        <f>SUM(F233:K233)</f>
        <v>6134977.8700000001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1378485.54</v>
      </c>
      <c r="G234" s="18">
        <v>627710.84</v>
      </c>
      <c r="H234" s="18">
        <v>1196032.1000000001</v>
      </c>
      <c r="I234" s="18">
        <v>4242.34</v>
      </c>
      <c r="J234" s="18">
        <v>1557.62</v>
      </c>
      <c r="K234" s="18"/>
      <c r="L234" s="19">
        <f>SUM(F234:K234)</f>
        <v>3208028.44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>
        <v>1196342.17</v>
      </c>
      <c r="G235" s="18">
        <v>567973.12</v>
      </c>
      <c r="H235" s="18">
        <v>54522.39</v>
      </c>
      <c r="I235" s="18">
        <v>35568.050000000003</v>
      </c>
      <c r="J235" s="18">
        <v>1383.96</v>
      </c>
      <c r="K235" s="18"/>
      <c r="L235" s="19">
        <f>SUM(F235:K235)</f>
        <v>1855789.69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283146.40000000002</v>
      </c>
      <c r="G236" s="18">
        <v>77835.11</v>
      </c>
      <c r="H236" s="18">
        <v>50084.480000000003</v>
      </c>
      <c r="I236" s="18">
        <v>14966.05</v>
      </c>
      <c r="J236" s="18">
        <v>38933.22</v>
      </c>
      <c r="K236" s="18">
        <v>47258.17</v>
      </c>
      <c r="L236" s="19">
        <f>SUM(F236:K236)</f>
        <v>512223.43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v>775572.82</v>
      </c>
      <c r="G238" s="18">
        <v>292506.17</v>
      </c>
      <c r="H238" s="18">
        <v>3707.51</v>
      </c>
      <c r="I238" s="18">
        <v>6429.33</v>
      </c>
      <c r="J238" s="18">
        <v>2505.81</v>
      </c>
      <c r="K238" s="18">
        <v>630</v>
      </c>
      <c r="L238" s="19">
        <f t="shared" ref="L238:L244" si="4">SUM(F238:K238)</f>
        <v>1081351.6400000001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v>265875.46999999997</v>
      </c>
      <c r="G239" s="18">
        <v>153961.04999999999</v>
      </c>
      <c r="H239" s="18">
        <v>124183.53</v>
      </c>
      <c r="I239" s="18">
        <v>30070.73</v>
      </c>
      <c r="J239" s="18">
        <v>40205.53</v>
      </c>
      <c r="K239" s="18">
        <v>297.86</v>
      </c>
      <c r="L239" s="19">
        <f t="shared" si="4"/>
        <v>614594.16999999993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470827.31</v>
      </c>
      <c r="G240" s="18">
        <v>251465.65</v>
      </c>
      <c r="H240" s="18">
        <v>71934.52</v>
      </c>
      <c r="I240" s="18">
        <v>10281.219999999999</v>
      </c>
      <c r="J240" s="18">
        <v>17173.810000000001</v>
      </c>
      <c r="K240" s="18">
        <v>11092.26</v>
      </c>
      <c r="L240" s="19">
        <f t="shared" si="4"/>
        <v>832774.77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v>569055.18000000005</v>
      </c>
      <c r="G241" s="18">
        <v>195920.77</v>
      </c>
      <c r="H241" s="18">
        <v>18705.54</v>
      </c>
      <c r="I241" s="18">
        <v>18729.97</v>
      </c>
      <c r="J241" s="18"/>
      <c r="K241" s="18">
        <v>9605</v>
      </c>
      <c r="L241" s="19">
        <f t="shared" si="4"/>
        <v>812016.46000000008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>
        <v>105076.8</v>
      </c>
      <c r="G242" s="18">
        <v>44642.879999999997</v>
      </c>
      <c r="H242" s="18">
        <v>10141.709999999999</v>
      </c>
      <c r="I242" s="18">
        <v>1574.25</v>
      </c>
      <c r="J242" s="18"/>
      <c r="K242" s="18">
        <v>22598.080000000002</v>
      </c>
      <c r="L242" s="19">
        <f t="shared" si="4"/>
        <v>184033.71999999997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565050.07999999996</v>
      </c>
      <c r="G243" s="18">
        <v>260841.05</v>
      </c>
      <c r="H243" s="18">
        <v>403368.95</v>
      </c>
      <c r="I243" s="18">
        <v>431029.83</v>
      </c>
      <c r="J243" s="18">
        <v>5645.19</v>
      </c>
      <c r="K243" s="18">
        <v>321.3</v>
      </c>
      <c r="L243" s="19">
        <f t="shared" si="4"/>
        <v>1666256.4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713924.39</v>
      </c>
      <c r="I244" s="18"/>
      <c r="J244" s="18"/>
      <c r="K244" s="18"/>
      <c r="L244" s="19">
        <f t="shared" si="4"/>
        <v>713924.39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>
        <v>693.86</v>
      </c>
      <c r="H245" s="18"/>
      <c r="I245" s="18"/>
      <c r="J245" s="18"/>
      <c r="K245" s="18"/>
      <c r="L245" s="19">
        <f>SUM(F245:K245)</f>
        <v>693.86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9846549.7200000007</v>
      </c>
      <c r="G247" s="41">
        <f t="shared" si="5"/>
        <v>4191990.3899999992</v>
      </c>
      <c r="H247" s="41">
        <f t="shared" si="5"/>
        <v>2710562.02</v>
      </c>
      <c r="I247" s="41">
        <f t="shared" si="5"/>
        <v>619890.79</v>
      </c>
      <c r="J247" s="41">
        <f t="shared" si="5"/>
        <v>127339.25</v>
      </c>
      <c r="K247" s="41">
        <f t="shared" si="5"/>
        <v>120332.67</v>
      </c>
      <c r="L247" s="41">
        <f t="shared" si="5"/>
        <v>17616664.84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>
        <f>4301.43</f>
        <v>4301.43</v>
      </c>
      <c r="G251" s="18">
        <f>329.08+184.41+48.02</f>
        <v>561.51</v>
      </c>
      <c r="H251" s="18"/>
      <c r="I251" s="18"/>
      <c r="J251" s="18"/>
      <c r="K251" s="18"/>
      <c r="L251" s="19">
        <f t="shared" si="6"/>
        <v>4862.9400000000005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4301.43</v>
      </c>
      <c r="G256" s="41">
        <f t="shared" si="7"/>
        <v>561.51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4862.9400000000005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32281343.32</v>
      </c>
      <c r="G257" s="41">
        <f t="shared" si="8"/>
        <v>13296227.209999997</v>
      </c>
      <c r="H257" s="41">
        <f t="shared" si="8"/>
        <v>7422622.5099999998</v>
      </c>
      <c r="I257" s="41">
        <f t="shared" si="8"/>
        <v>1688650.6800000002</v>
      </c>
      <c r="J257" s="41">
        <f t="shared" si="8"/>
        <v>276248.99</v>
      </c>
      <c r="K257" s="41">
        <f t="shared" si="8"/>
        <v>201230.83000000002</v>
      </c>
      <c r="L257" s="41">
        <f t="shared" si="8"/>
        <v>55166323.539999992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1813748.34</v>
      </c>
      <c r="L260" s="19">
        <f>SUM(F260:K260)</f>
        <v>1813748.34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383995.77</v>
      </c>
      <c r="L261" s="19">
        <f>SUM(F261:K261)</f>
        <v>383995.77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2197744.1100000003</v>
      </c>
      <c r="L270" s="41">
        <f t="shared" si="9"/>
        <v>2197744.1100000003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32281343.32</v>
      </c>
      <c r="G271" s="42">
        <f t="shared" si="11"/>
        <v>13296227.209999997</v>
      </c>
      <c r="H271" s="42">
        <f t="shared" si="11"/>
        <v>7422622.5099999998</v>
      </c>
      <c r="I271" s="42">
        <f t="shared" si="11"/>
        <v>1688650.6800000002</v>
      </c>
      <c r="J271" s="42">
        <f t="shared" si="11"/>
        <v>276248.99</v>
      </c>
      <c r="K271" s="42">
        <f t="shared" si="11"/>
        <v>2398974.9400000004</v>
      </c>
      <c r="L271" s="42">
        <f t="shared" si="11"/>
        <v>57364067.649999991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44059</v>
      </c>
      <c r="G276" s="18">
        <v>15690.5</v>
      </c>
      <c r="H276" s="18">
        <v>6416.81</v>
      </c>
      <c r="I276" s="18">
        <v>12279.73</v>
      </c>
      <c r="J276" s="18">
        <v>15261.36</v>
      </c>
      <c r="K276" s="18"/>
      <c r="L276" s="19">
        <f>SUM(F276:K276)</f>
        <v>93707.4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f>1080685.42+0.01</f>
        <v>1080685.43</v>
      </c>
      <c r="G277" s="18">
        <v>396885.93</v>
      </c>
      <c r="H277" s="18">
        <v>2445.9</v>
      </c>
      <c r="I277" s="18">
        <v>21949.41</v>
      </c>
      <c r="J277" s="18"/>
      <c r="K277" s="18"/>
      <c r="L277" s="19">
        <f>SUM(F277:K277)</f>
        <v>1501966.6699999997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>
        <v>640.25</v>
      </c>
      <c r="G278" s="18">
        <v>137.54</v>
      </c>
      <c r="H278" s="18">
        <v>6739.5</v>
      </c>
      <c r="I278" s="18">
        <v>4123.3</v>
      </c>
      <c r="J278" s="18"/>
      <c r="K278" s="18"/>
      <c r="L278" s="19">
        <f>SUM(F278:K278)</f>
        <v>11640.59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>
        <v>2144.27</v>
      </c>
      <c r="G281" s="18">
        <v>194.13</v>
      </c>
      <c r="H281" s="18"/>
      <c r="I281" s="18">
        <v>410.89</v>
      </c>
      <c r="J281" s="18"/>
      <c r="K281" s="18"/>
      <c r="L281" s="19">
        <f t="shared" ref="L281:L287" si="12">SUM(F281:K281)</f>
        <v>2749.29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71891.83</v>
      </c>
      <c r="G282" s="18">
        <v>25095.87</v>
      </c>
      <c r="H282" s="18">
        <v>110607.74</v>
      </c>
      <c r="I282" s="18">
        <v>7922</v>
      </c>
      <c r="J282" s="18"/>
      <c r="K282" s="18"/>
      <c r="L282" s="19">
        <f t="shared" si="12"/>
        <v>215517.44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>
        <v>71960.600000000006</v>
      </c>
      <c r="G283" s="18">
        <v>32805.15</v>
      </c>
      <c r="H283" s="18">
        <v>34160.31</v>
      </c>
      <c r="I283" s="18">
        <v>5882.93</v>
      </c>
      <c r="J283" s="18">
        <v>2002.06</v>
      </c>
      <c r="K283" s="18">
        <v>50</v>
      </c>
      <c r="L283" s="19">
        <f t="shared" si="12"/>
        <v>146861.04999999999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v>32594.17</v>
      </c>
      <c r="L285" s="19">
        <f t="shared" si="12"/>
        <v>32594.17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>
        <v>80806.61</v>
      </c>
      <c r="G288" s="18">
        <v>6168.76</v>
      </c>
      <c r="H288" s="18"/>
      <c r="I288" s="18"/>
      <c r="J288" s="18"/>
      <c r="K288" s="18">
        <v>45102.98</v>
      </c>
      <c r="L288" s="19">
        <f>SUM(F288:K288)</f>
        <v>132078.35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1352187.9900000002</v>
      </c>
      <c r="G290" s="42">
        <f t="shared" si="13"/>
        <v>476977.88</v>
      </c>
      <c r="H290" s="42">
        <f t="shared" si="13"/>
        <v>160370.26</v>
      </c>
      <c r="I290" s="42">
        <f t="shared" si="13"/>
        <v>52568.26</v>
      </c>
      <c r="J290" s="42">
        <f t="shared" si="13"/>
        <v>17263.420000000002</v>
      </c>
      <c r="K290" s="42">
        <f t="shared" si="13"/>
        <v>77747.149999999994</v>
      </c>
      <c r="L290" s="41">
        <f t="shared" si="13"/>
        <v>2137114.9599999995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>
        <v>21975.57</v>
      </c>
      <c r="G295" s="18">
        <v>7826.04</v>
      </c>
      <c r="H295" s="18">
        <v>3200.55</v>
      </c>
      <c r="I295" s="18">
        <v>5252.52</v>
      </c>
      <c r="J295" s="18">
        <v>7612</v>
      </c>
      <c r="K295" s="18"/>
      <c r="L295" s="19">
        <f>SUM(F295:K295)</f>
        <v>45866.680000000008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>
        <v>179363.16</v>
      </c>
      <c r="G296" s="18">
        <v>58458.19</v>
      </c>
      <c r="H296" s="18">
        <v>112.05</v>
      </c>
      <c r="I296" s="18">
        <v>221.33</v>
      </c>
      <c r="J296" s="18"/>
      <c r="K296" s="18"/>
      <c r="L296" s="19">
        <f>SUM(F296:K296)</f>
        <v>238154.72999999998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>
        <v>319.33999999999997</v>
      </c>
      <c r="G297" s="18">
        <v>68.599999999999994</v>
      </c>
      <c r="H297" s="18">
        <v>3361.5</v>
      </c>
      <c r="I297" s="18">
        <v>2056.6</v>
      </c>
      <c r="J297" s="18"/>
      <c r="K297" s="18"/>
      <c r="L297" s="19">
        <f>SUM(F297:K297)</f>
        <v>5806.04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>
        <v>1069.51</v>
      </c>
      <c r="G300" s="18">
        <v>96.83</v>
      </c>
      <c r="H300" s="18"/>
      <c r="I300" s="18">
        <v>204.94</v>
      </c>
      <c r="J300" s="18"/>
      <c r="K300" s="18"/>
      <c r="L300" s="19">
        <f t="shared" ref="L300:L306" si="14">SUM(F300:K300)</f>
        <v>1371.28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>
        <v>23296</v>
      </c>
      <c r="G301" s="18">
        <v>6584.72</v>
      </c>
      <c r="H301" s="18">
        <v>55109.86</v>
      </c>
      <c r="I301" s="18">
        <v>2341.1</v>
      </c>
      <c r="J301" s="18"/>
      <c r="K301" s="18"/>
      <c r="L301" s="19">
        <f t="shared" si="14"/>
        <v>87331.680000000008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>
        <v>4428.93</v>
      </c>
      <c r="G302" s="18">
        <v>862.17</v>
      </c>
      <c r="H302" s="18">
        <v>2764.29</v>
      </c>
      <c r="I302" s="18">
        <v>2647.07</v>
      </c>
      <c r="J302" s="18">
        <v>998.58</v>
      </c>
      <c r="K302" s="18"/>
      <c r="L302" s="19">
        <f t="shared" si="14"/>
        <v>11701.04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>
        <v>11924.3</v>
      </c>
      <c r="L304" s="19">
        <f t="shared" si="14"/>
        <v>11924.3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>
        <v>40304.39</v>
      </c>
      <c r="G307" s="18">
        <v>3076.83</v>
      </c>
      <c r="H307" s="18"/>
      <c r="I307" s="18"/>
      <c r="J307" s="18"/>
      <c r="K307" s="18">
        <v>22496.28</v>
      </c>
      <c r="L307" s="19">
        <f>SUM(F307:K307)</f>
        <v>65877.5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270756.90000000002</v>
      </c>
      <c r="G309" s="42">
        <f t="shared" si="15"/>
        <v>76973.38</v>
      </c>
      <c r="H309" s="42">
        <f t="shared" si="15"/>
        <v>64548.25</v>
      </c>
      <c r="I309" s="42">
        <f t="shared" si="15"/>
        <v>12723.56</v>
      </c>
      <c r="J309" s="42">
        <f t="shared" si="15"/>
        <v>8610.58</v>
      </c>
      <c r="K309" s="42">
        <f t="shared" si="15"/>
        <v>34420.58</v>
      </c>
      <c r="L309" s="41">
        <f t="shared" si="15"/>
        <v>468033.24999999994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>
        <v>32026.87</v>
      </c>
      <c r="G314" s="18">
        <v>11405.57</v>
      </c>
      <c r="H314" s="18">
        <v>4664.43</v>
      </c>
      <c r="I314" s="18">
        <v>7654.94</v>
      </c>
      <c r="J314" s="18">
        <v>11093.61</v>
      </c>
      <c r="K314" s="18"/>
      <c r="L314" s="19">
        <f>SUM(F314:K314)</f>
        <v>66845.420000000013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>
        <v>261401.21</v>
      </c>
      <c r="G315" s="18">
        <v>85196.11</v>
      </c>
      <c r="H315" s="18">
        <v>163.30000000000001</v>
      </c>
      <c r="I315" s="18">
        <v>322.56</v>
      </c>
      <c r="J315" s="18"/>
      <c r="K315" s="18"/>
      <c r="L315" s="19">
        <f>SUM(F315:K315)</f>
        <v>347083.18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>
        <v>465.41</v>
      </c>
      <c r="G316" s="18">
        <v>99.98</v>
      </c>
      <c r="H316" s="18">
        <v>41197.620000000003</v>
      </c>
      <c r="I316" s="18">
        <v>10918.84</v>
      </c>
      <c r="J316" s="18">
        <v>64721.59</v>
      </c>
      <c r="K316" s="18">
        <v>1500</v>
      </c>
      <c r="L316" s="19">
        <f>SUM(F316:K316)</f>
        <v>118903.44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>
        <v>1558.69</v>
      </c>
      <c r="G319" s="18">
        <v>141.12</v>
      </c>
      <c r="H319" s="18"/>
      <c r="I319" s="18">
        <v>298.68</v>
      </c>
      <c r="J319" s="18"/>
      <c r="K319" s="18"/>
      <c r="L319" s="19">
        <f t="shared" ref="L319:L325" si="16">SUM(F319:K319)</f>
        <v>1998.49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>
        <v>33951.24</v>
      </c>
      <c r="G320" s="18">
        <v>9596.48</v>
      </c>
      <c r="H320" s="18">
        <v>80316.28</v>
      </c>
      <c r="I320" s="18">
        <v>4166.8900000000003</v>
      </c>
      <c r="J320" s="18"/>
      <c r="K320" s="18">
        <v>3874.89</v>
      </c>
      <c r="L320" s="19">
        <f t="shared" si="16"/>
        <v>131905.78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>
        <v>6454.65</v>
      </c>
      <c r="G321" s="18">
        <v>1256.53</v>
      </c>
      <c r="H321" s="18">
        <v>4028.64</v>
      </c>
      <c r="I321" s="18">
        <v>3857.8</v>
      </c>
      <c r="J321" s="18">
        <v>1455.32</v>
      </c>
      <c r="K321" s="18"/>
      <c r="L321" s="19">
        <f t="shared" si="16"/>
        <v>17052.939999999999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>
        <v>21290.720000000001</v>
      </c>
      <c r="L323" s="19">
        <f t="shared" si="16"/>
        <v>21290.720000000001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>
        <v>58739.01</v>
      </c>
      <c r="G326" s="18">
        <v>4484.12</v>
      </c>
      <c r="H326" s="18"/>
      <c r="I326" s="18"/>
      <c r="J326" s="18"/>
      <c r="K326" s="18">
        <v>32785.74</v>
      </c>
      <c r="L326" s="19">
        <f>SUM(F326:K326)</f>
        <v>96008.87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394597.08</v>
      </c>
      <c r="G328" s="42">
        <f t="shared" si="17"/>
        <v>112179.90999999997</v>
      </c>
      <c r="H328" s="42">
        <f t="shared" si="17"/>
        <v>130370.27</v>
      </c>
      <c r="I328" s="42">
        <f t="shared" si="17"/>
        <v>27219.71</v>
      </c>
      <c r="J328" s="42">
        <f t="shared" si="17"/>
        <v>77270.52</v>
      </c>
      <c r="K328" s="42">
        <f t="shared" si="17"/>
        <v>59451.35</v>
      </c>
      <c r="L328" s="41">
        <f t="shared" si="17"/>
        <v>801088.84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>
        <v>1532</v>
      </c>
      <c r="I332" s="18"/>
      <c r="J332" s="18"/>
      <c r="K332" s="18"/>
      <c r="L332" s="19">
        <f t="shared" ref="L332:L337" si="18">SUM(F332:K332)</f>
        <v>1532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>
        <v>24680.95</v>
      </c>
      <c r="G333" s="18">
        <v>2067.71</v>
      </c>
      <c r="H333" s="18"/>
      <c r="I333" s="18">
        <v>142.97</v>
      </c>
      <c r="J333" s="18"/>
      <c r="K333" s="18"/>
      <c r="L333" s="19">
        <f t="shared" si="18"/>
        <v>26891.63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24680.95</v>
      </c>
      <c r="G337" s="41">
        <f t="shared" si="19"/>
        <v>2067.71</v>
      </c>
      <c r="H337" s="41">
        <f t="shared" si="19"/>
        <v>1532</v>
      </c>
      <c r="I337" s="41">
        <f t="shared" si="19"/>
        <v>142.97</v>
      </c>
      <c r="J337" s="41">
        <f t="shared" si="19"/>
        <v>0</v>
      </c>
      <c r="K337" s="41">
        <f t="shared" si="19"/>
        <v>0</v>
      </c>
      <c r="L337" s="41">
        <f t="shared" si="18"/>
        <v>28423.63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2042222.9200000002</v>
      </c>
      <c r="G338" s="41">
        <f t="shared" si="20"/>
        <v>668198.87999999989</v>
      </c>
      <c r="H338" s="41">
        <f t="shared" si="20"/>
        <v>356820.78</v>
      </c>
      <c r="I338" s="41">
        <f t="shared" si="20"/>
        <v>92654.5</v>
      </c>
      <c r="J338" s="41">
        <f t="shared" si="20"/>
        <v>103144.52</v>
      </c>
      <c r="K338" s="41">
        <f t="shared" si="20"/>
        <v>171619.08</v>
      </c>
      <c r="L338" s="41">
        <f t="shared" si="20"/>
        <v>3434660.6799999992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2042222.9200000002</v>
      </c>
      <c r="G352" s="41">
        <f>G338</f>
        <v>668198.87999999989</v>
      </c>
      <c r="H352" s="41">
        <f>H338</f>
        <v>356820.78</v>
      </c>
      <c r="I352" s="41">
        <f>I338</f>
        <v>92654.5</v>
      </c>
      <c r="J352" s="41">
        <f>J338</f>
        <v>103144.52</v>
      </c>
      <c r="K352" s="47">
        <f>K338+K351</f>
        <v>171619.08</v>
      </c>
      <c r="L352" s="41">
        <f>L338+L351</f>
        <v>3434660.6799999992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f>244984.43+2821.31</f>
        <v>247805.74</v>
      </c>
      <c r="G358" s="18">
        <f>79310.13+213.56+77.65</f>
        <v>79601.34</v>
      </c>
      <c r="H358" s="18">
        <v>167789.13</v>
      </c>
      <c r="I358" s="18">
        <f>327273.56+4103.93+70395.95</f>
        <v>401773.44</v>
      </c>
      <c r="J358" s="18"/>
      <c r="K358" s="18">
        <v>458.4</v>
      </c>
      <c r="L358" s="13">
        <f>SUM(F358:K358)</f>
        <v>897428.04999999993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>
        <v>104965.99</v>
      </c>
      <c r="G359" s="18">
        <v>32646.05</v>
      </c>
      <c r="H359" s="18">
        <v>84234.76</v>
      </c>
      <c r="I359" s="18">
        <v>162336.20000000001</v>
      </c>
      <c r="J359" s="18"/>
      <c r="K359" s="18"/>
      <c r="L359" s="19">
        <f>SUM(F359:K359)</f>
        <v>384183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>
        <v>174633.62</v>
      </c>
      <c r="G360" s="18">
        <v>44023.18</v>
      </c>
      <c r="H360" s="18">
        <v>116838.73</v>
      </c>
      <c r="I360" s="18">
        <v>236586.35</v>
      </c>
      <c r="J360" s="18"/>
      <c r="K360" s="18"/>
      <c r="L360" s="19">
        <f>SUM(F360:K360)</f>
        <v>572081.88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527405.35</v>
      </c>
      <c r="G362" s="47">
        <f t="shared" si="22"/>
        <v>156270.57</v>
      </c>
      <c r="H362" s="47">
        <f t="shared" si="22"/>
        <v>368862.62</v>
      </c>
      <c r="I362" s="47">
        <f t="shared" si="22"/>
        <v>800695.99</v>
      </c>
      <c r="J362" s="47">
        <f t="shared" si="22"/>
        <v>0</v>
      </c>
      <c r="K362" s="47">
        <f t="shared" si="22"/>
        <v>458.4</v>
      </c>
      <c r="L362" s="47">
        <f t="shared" si="22"/>
        <v>1853692.9299999997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f>291997.21+70395.95+0.01</f>
        <v>362393.17000000004</v>
      </c>
      <c r="G367" s="18">
        <v>145641.16</v>
      </c>
      <c r="H367" s="18">
        <v>212255.26</v>
      </c>
      <c r="I367" s="56">
        <f>SUM(F367:H367)</f>
        <v>720289.59000000008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f>35276.35+4103.93</f>
        <v>39380.28</v>
      </c>
      <c r="G368" s="63">
        <v>16695.03</v>
      </c>
      <c r="H368" s="63">
        <v>24331.09</v>
      </c>
      <c r="I368" s="56">
        <f>SUM(F368:H368)</f>
        <v>80406.399999999994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401773.45000000007</v>
      </c>
      <c r="G369" s="47">
        <f>SUM(G367:G368)</f>
        <v>162336.19</v>
      </c>
      <c r="H369" s="47">
        <f>SUM(H367:H368)</f>
        <v>236586.35</v>
      </c>
      <c r="I369" s="47">
        <f>SUM(I367:I368)</f>
        <v>800695.99000000011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>
        <v>1071495.6499999999</v>
      </c>
      <c r="I379" s="18"/>
      <c r="J379" s="18"/>
      <c r="K379" s="18"/>
      <c r="L379" s="13">
        <f t="shared" si="23"/>
        <v>1071495.6499999999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1071495.6499999999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1071495.6499999999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0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0</v>
      </c>
      <c r="H446" s="13">
        <f>SUM(H439:H445)</f>
        <v>0</v>
      </c>
      <c r="I446" s="13">
        <f>SUM(I439:I445)</f>
        <v>0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0</v>
      </c>
      <c r="H460" s="83">
        <f>SUM(H454:H459)</f>
        <v>0</v>
      </c>
      <c r="I460" s="83">
        <f>SUM(I454:I459)</f>
        <v>0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0</v>
      </c>
      <c r="H461" s="42">
        <f>H452+H460</f>
        <v>0</v>
      </c>
      <c r="I461" s="42">
        <f>I452+I460</f>
        <v>0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/>
      <c r="G465" s="18">
        <v>41158.78</v>
      </c>
      <c r="H465" s="18">
        <v>5532.89</v>
      </c>
      <c r="I465" s="18">
        <v>1071495.6499999999</v>
      </c>
      <c r="J465" s="18"/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57473801.159999996</v>
      </c>
      <c r="G468" s="18">
        <f>1753152.52+78070.8</f>
        <v>1831223.32</v>
      </c>
      <c r="H468" s="18">
        <v>3435210.68</v>
      </c>
      <c r="I468" s="18">
        <v>13466650.619999999</v>
      </c>
      <c r="J468" s="18"/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>
        <v>16454.22</v>
      </c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57473801.159999996</v>
      </c>
      <c r="G470" s="53">
        <f>SUM(G468:G469)</f>
        <v>1847677.54</v>
      </c>
      <c r="H470" s="53">
        <f>SUM(H468:H469)</f>
        <v>3435210.68</v>
      </c>
      <c r="I470" s="53">
        <f>SUM(I468:I469)</f>
        <v>13466650.619999999</v>
      </c>
      <c r="J470" s="53">
        <f>SUM(J468:J469)</f>
        <v>0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57364067.649999999</v>
      </c>
      <c r="G472" s="18">
        <f>1775622.13+78070.8</f>
        <v>1853692.93</v>
      </c>
      <c r="H472" s="18">
        <v>3434660.68</v>
      </c>
      <c r="I472" s="18">
        <v>1071495.6499999999</v>
      </c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>
        <v>109733.51</v>
      </c>
      <c r="G473" s="18">
        <v>18689.169999999998</v>
      </c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57473801.159999996</v>
      </c>
      <c r="G474" s="53">
        <f>SUM(G472:G473)</f>
        <v>1872382.0999999999</v>
      </c>
      <c r="H474" s="53">
        <f>SUM(H472:H473)</f>
        <v>3434660.68</v>
      </c>
      <c r="I474" s="53">
        <f>SUM(I472:I473)</f>
        <v>1071495.6499999999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0</v>
      </c>
      <c r="G476" s="53">
        <f>(G465+G470)- G474</f>
        <v>16454.220000000205</v>
      </c>
      <c r="H476" s="53">
        <f>(H465+H470)- H474</f>
        <v>6082.8900000001304</v>
      </c>
      <c r="I476" s="53">
        <f>(I465+I470)- I474</f>
        <v>13466650.619999999</v>
      </c>
      <c r="J476" s="53">
        <f>(J465+J470)- J474</f>
        <v>0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 t="s">
        <v>911</v>
      </c>
      <c r="G490" s="154">
        <v>20</v>
      </c>
      <c r="H490" s="154">
        <v>20</v>
      </c>
      <c r="I490" s="154">
        <v>20</v>
      </c>
      <c r="J490" s="154" t="s">
        <v>911</v>
      </c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4" t="s">
        <v>911</v>
      </c>
      <c r="G491" s="155" t="s">
        <v>913</v>
      </c>
      <c r="H491" s="155" t="s">
        <v>915</v>
      </c>
      <c r="I491" s="155" t="s">
        <v>917</v>
      </c>
      <c r="J491" s="154" t="s">
        <v>911</v>
      </c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912</v>
      </c>
      <c r="G492" s="155" t="s">
        <v>914</v>
      </c>
      <c r="H492" s="155" t="s">
        <v>916</v>
      </c>
      <c r="I492" s="155" t="s">
        <v>918</v>
      </c>
      <c r="J492" s="154" t="s">
        <v>919</v>
      </c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54" t="s">
        <v>911</v>
      </c>
      <c r="G493" s="18">
        <v>4704717</v>
      </c>
      <c r="H493" s="18">
        <v>3237000</v>
      </c>
      <c r="I493" s="18">
        <v>1378525</v>
      </c>
      <c r="J493" s="18">
        <v>1992991</v>
      </c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54" t="s">
        <v>911</v>
      </c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3906298</v>
      </c>
      <c r="G495" s="18">
        <v>1528209</v>
      </c>
      <c r="H495" s="18">
        <v>1587000</v>
      </c>
      <c r="I495" s="18">
        <v>1005042</v>
      </c>
      <c r="J495" s="18">
        <v>2876559</v>
      </c>
      <c r="K495" s="53">
        <f>SUM(F495:J495)</f>
        <v>10903108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v>2725837</v>
      </c>
      <c r="G498" s="204">
        <v>1331370</v>
      </c>
      <c r="H498" s="204">
        <v>1427000</v>
      </c>
      <c r="I498" s="204">
        <v>902886</v>
      </c>
      <c r="J498" s="204">
        <v>2702266</v>
      </c>
      <c r="K498" s="205">
        <f t="shared" si="35"/>
        <v>9089359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v>204409</v>
      </c>
      <c r="G499" s="18">
        <v>88033</v>
      </c>
      <c r="H499" s="18">
        <v>293527</v>
      </c>
      <c r="I499" s="18">
        <v>110406</v>
      </c>
      <c r="J499" s="18">
        <v>817664</v>
      </c>
      <c r="K499" s="53">
        <f t="shared" si="35"/>
        <v>1514039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2930246</v>
      </c>
      <c r="G500" s="42">
        <f>SUM(G498:G499)</f>
        <v>1419403</v>
      </c>
      <c r="H500" s="42">
        <f>SUM(H498:H499)</f>
        <v>1720527</v>
      </c>
      <c r="I500" s="42">
        <f>SUM(I498:I499)</f>
        <v>1013292</v>
      </c>
      <c r="J500" s="42">
        <f>SUM(J498:J499)</f>
        <v>3519930</v>
      </c>
      <c r="K500" s="42">
        <f t="shared" si="35"/>
        <v>10603398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1177794</v>
      </c>
      <c r="G501" s="204">
        <v>195677</v>
      </c>
      <c r="H501" s="204">
        <v>160000</v>
      </c>
      <c r="I501" s="204">
        <v>98580</v>
      </c>
      <c r="J501" s="204">
        <v>179293</v>
      </c>
      <c r="K501" s="205">
        <f t="shared" si="35"/>
        <v>1811344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113490</v>
      </c>
      <c r="G502" s="18">
        <v>23785</v>
      </c>
      <c r="H502" s="18">
        <v>61709</v>
      </c>
      <c r="I502" s="18">
        <v>21013</v>
      </c>
      <c r="J502" s="18">
        <v>96909</v>
      </c>
      <c r="K502" s="53">
        <f t="shared" si="35"/>
        <v>316906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1291284</v>
      </c>
      <c r="G503" s="42">
        <f>SUM(G501:G502)</f>
        <v>219462</v>
      </c>
      <c r="H503" s="42">
        <f>SUM(H501:H502)</f>
        <v>221709</v>
      </c>
      <c r="I503" s="42">
        <f>SUM(I501:I502)</f>
        <v>119593</v>
      </c>
      <c r="J503" s="42">
        <f>SUM(J501:J502)</f>
        <v>276202</v>
      </c>
      <c r="K503" s="42">
        <f t="shared" si="35"/>
        <v>2128250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4724970.3099999996</v>
      </c>
      <c r="G521" s="18">
        <v>1685994.59</v>
      </c>
      <c r="H521" s="18">
        <v>699293.96</v>
      </c>
      <c r="I521" s="18">
        <v>22054.19</v>
      </c>
      <c r="J521" s="18">
        <v>992.86</v>
      </c>
      <c r="K521" s="18"/>
      <c r="L521" s="88">
        <f>SUM(F521:K521)</f>
        <v>7133305.9100000001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1491377.48</v>
      </c>
      <c r="G522" s="18">
        <v>691741.38</v>
      </c>
      <c r="H522" s="18">
        <v>786570.57</v>
      </c>
      <c r="I522" s="18">
        <v>8543.07</v>
      </c>
      <c r="J522" s="18">
        <v>440.31</v>
      </c>
      <c r="K522" s="18"/>
      <c r="L522" s="88">
        <f>SUM(F522:K522)</f>
        <v>2978672.8099999996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1392217.04</v>
      </c>
      <c r="G523" s="18">
        <v>628195.38</v>
      </c>
      <c r="H523" s="18">
        <v>724798.16</v>
      </c>
      <c r="I523" s="18">
        <v>4242.34</v>
      </c>
      <c r="J523" s="18">
        <v>1557.62</v>
      </c>
      <c r="K523" s="18"/>
      <c r="L523" s="88">
        <f>SUM(F523:K523)</f>
        <v>2751010.54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7608564.8299999991</v>
      </c>
      <c r="G524" s="108">
        <f t="shared" ref="G524:L524" si="36">SUM(G521:G523)</f>
        <v>3005931.35</v>
      </c>
      <c r="H524" s="108">
        <f t="shared" si="36"/>
        <v>2210662.69</v>
      </c>
      <c r="I524" s="108">
        <f t="shared" si="36"/>
        <v>34839.599999999999</v>
      </c>
      <c r="J524" s="108">
        <f t="shared" si="36"/>
        <v>2990.79</v>
      </c>
      <c r="K524" s="108">
        <f t="shared" si="36"/>
        <v>0</v>
      </c>
      <c r="L524" s="89">
        <f t="shared" si="36"/>
        <v>12862989.259999998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258622.69</v>
      </c>
      <c r="G526" s="18">
        <v>91638.83</v>
      </c>
      <c r="H526" s="18">
        <v>628502.07999999996</v>
      </c>
      <c r="I526" s="18"/>
      <c r="J526" s="18"/>
      <c r="K526" s="18"/>
      <c r="L526" s="88">
        <f>SUM(F526:K526)</f>
        <v>978763.6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>
        <v>116294.23</v>
      </c>
      <c r="G527" s="18">
        <v>40163.480000000003</v>
      </c>
      <c r="H527" s="18">
        <v>283195.37</v>
      </c>
      <c r="I527" s="18"/>
      <c r="J527" s="18"/>
      <c r="K527" s="18"/>
      <c r="L527" s="88">
        <f>SUM(F527:K527)</f>
        <v>439653.07999999996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v>169485.48</v>
      </c>
      <c r="G528" s="18">
        <v>58533.65</v>
      </c>
      <c r="H528" s="18">
        <v>471233.94</v>
      </c>
      <c r="I528" s="18"/>
      <c r="J528" s="18"/>
      <c r="K528" s="18"/>
      <c r="L528" s="88">
        <f>SUM(F528:K528)</f>
        <v>699253.07000000007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544402.4</v>
      </c>
      <c r="G529" s="89">
        <f t="shared" ref="G529:L529" si="37">SUM(G526:G528)</f>
        <v>190335.96</v>
      </c>
      <c r="H529" s="89">
        <f t="shared" si="37"/>
        <v>1382931.39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2117669.75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155530.82</v>
      </c>
      <c r="G531" s="18">
        <v>59916.61</v>
      </c>
      <c r="H531" s="18">
        <v>10063.18</v>
      </c>
      <c r="I531" s="18">
        <v>294.08</v>
      </c>
      <c r="J531" s="18"/>
      <c r="K531" s="18">
        <v>26222.25</v>
      </c>
      <c r="L531" s="88">
        <f>SUM(F531:K531)</f>
        <v>252026.93999999997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v>77575.02</v>
      </c>
      <c r="G532" s="18">
        <v>29884.95</v>
      </c>
      <c r="H532" s="18">
        <v>5019.2700000000004</v>
      </c>
      <c r="I532" s="18">
        <v>146.68</v>
      </c>
      <c r="J532" s="18"/>
      <c r="K532" s="18">
        <v>8746.14</v>
      </c>
      <c r="L532" s="88">
        <f>SUM(F532:K532)</f>
        <v>121372.06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113056.68</v>
      </c>
      <c r="G533" s="18">
        <v>43553.9</v>
      </c>
      <c r="H533" s="18">
        <v>7315</v>
      </c>
      <c r="I533" s="18">
        <v>213.77</v>
      </c>
      <c r="J533" s="18"/>
      <c r="K533" s="18">
        <v>12746.49</v>
      </c>
      <c r="L533" s="88">
        <f>SUM(F533:K533)</f>
        <v>176885.83999999997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346162.52</v>
      </c>
      <c r="G534" s="89">
        <f t="shared" ref="G534:L534" si="38">SUM(G531:G533)</f>
        <v>133355.46</v>
      </c>
      <c r="H534" s="89">
        <f t="shared" si="38"/>
        <v>22397.45</v>
      </c>
      <c r="I534" s="89">
        <f t="shared" si="38"/>
        <v>654.53</v>
      </c>
      <c r="J534" s="89">
        <f t="shared" si="38"/>
        <v>0</v>
      </c>
      <c r="K534" s="89">
        <f t="shared" si="38"/>
        <v>47714.879999999997</v>
      </c>
      <c r="L534" s="89">
        <f t="shared" si="38"/>
        <v>550284.84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20848.04</v>
      </c>
      <c r="I536" s="18"/>
      <c r="J536" s="18"/>
      <c r="K536" s="18"/>
      <c r="L536" s="88">
        <f>SUM(F536:K536)</f>
        <v>20848.04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>
        <v>10398.5</v>
      </c>
      <c r="I537" s="18"/>
      <c r="J537" s="18"/>
      <c r="K537" s="18"/>
      <c r="L537" s="88">
        <f>SUM(F537:K537)</f>
        <v>10398.5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>
        <v>15154.62</v>
      </c>
      <c r="I538" s="18"/>
      <c r="J538" s="18"/>
      <c r="K538" s="18"/>
      <c r="L538" s="88">
        <f>SUM(F538:K538)</f>
        <v>15154.62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46401.16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46401.16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250411.51</v>
      </c>
      <c r="I541" s="18"/>
      <c r="J541" s="18"/>
      <c r="K541" s="18"/>
      <c r="L541" s="88">
        <f>SUM(F541:K541)</f>
        <v>250411.51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265294.07</v>
      </c>
      <c r="I542" s="18"/>
      <c r="J542" s="18"/>
      <c r="K542" s="18"/>
      <c r="L542" s="88">
        <f>SUM(F542:K542)</f>
        <v>265294.07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279379.48</v>
      </c>
      <c r="I543" s="18"/>
      <c r="J543" s="18"/>
      <c r="K543" s="18"/>
      <c r="L543" s="88">
        <f>SUM(F543:K543)</f>
        <v>279379.48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795085.06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795085.06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8499129.75</v>
      </c>
      <c r="G545" s="89">
        <f t="shared" ref="G545:L545" si="41">G524+G529+G534+G539+G544</f>
        <v>3329622.77</v>
      </c>
      <c r="H545" s="89">
        <f t="shared" si="41"/>
        <v>4457477.75</v>
      </c>
      <c r="I545" s="89">
        <f t="shared" si="41"/>
        <v>35494.129999999997</v>
      </c>
      <c r="J545" s="89">
        <f t="shared" si="41"/>
        <v>2990.79</v>
      </c>
      <c r="K545" s="89">
        <f t="shared" si="41"/>
        <v>47714.879999999997</v>
      </c>
      <c r="L545" s="89">
        <f t="shared" si="41"/>
        <v>16372430.069999998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7133305.9100000001</v>
      </c>
      <c r="G549" s="87">
        <f>L526</f>
        <v>978763.6</v>
      </c>
      <c r="H549" s="87">
        <f>L531</f>
        <v>252026.93999999997</v>
      </c>
      <c r="I549" s="87">
        <f>L536</f>
        <v>20848.04</v>
      </c>
      <c r="J549" s="87">
        <f>L541</f>
        <v>250411.51</v>
      </c>
      <c r="K549" s="87">
        <f>SUM(F549:J549)</f>
        <v>8635356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2978672.8099999996</v>
      </c>
      <c r="G550" s="87">
        <f>L527</f>
        <v>439653.07999999996</v>
      </c>
      <c r="H550" s="87">
        <f>L532</f>
        <v>121372.06</v>
      </c>
      <c r="I550" s="87">
        <f>L537</f>
        <v>10398.5</v>
      </c>
      <c r="J550" s="87">
        <f>L542</f>
        <v>265294.07</v>
      </c>
      <c r="K550" s="87">
        <f>SUM(F550:J550)</f>
        <v>3815390.5199999996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2751010.54</v>
      </c>
      <c r="G551" s="87">
        <f>L528</f>
        <v>699253.07000000007</v>
      </c>
      <c r="H551" s="87">
        <f>L533</f>
        <v>176885.83999999997</v>
      </c>
      <c r="I551" s="87">
        <f>L538</f>
        <v>15154.62</v>
      </c>
      <c r="J551" s="87">
        <f>L543</f>
        <v>279379.48</v>
      </c>
      <c r="K551" s="87">
        <f>SUM(F551:J551)</f>
        <v>3921683.5500000003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12862989.259999998</v>
      </c>
      <c r="G552" s="89">
        <f t="shared" si="42"/>
        <v>2117669.75</v>
      </c>
      <c r="H552" s="89">
        <f t="shared" si="42"/>
        <v>550284.84</v>
      </c>
      <c r="I552" s="89">
        <f t="shared" si="42"/>
        <v>46401.16</v>
      </c>
      <c r="J552" s="89">
        <f t="shared" si="42"/>
        <v>795085.06</v>
      </c>
      <c r="K552" s="89">
        <f t="shared" si="42"/>
        <v>16372430.07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>
        <v>799276.91</v>
      </c>
      <c r="G557" s="18">
        <v>317628.65000000002</v>
      </c>
      <c r="H557" s="18">
        <v>32050.01</v>
      </c>
      <c r="I557" s="18">
        <v>27058.67</v>
      </c>
      <c r="J557" s="18"/>
      <c r="K557" s="18">
        <v>8800.92</v>
      </c>
      <c r="L557" s="88">
        <f>SUM(F557:K557)</f>
        <v>1184815.1599999999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>
        <v>8152.51</v>
      </c>
      <c r="G558" s="18">
        <v>3073.84</v>
      </c>
      <c r="H558" s="18">
        <v>545.21</v>
      </c>
      <c r="I558" s="18"/>
      <c r="J558" s="18"/>
      <c r="K558" s="18">
        <v>31.86</v>
      </c>
      <c r="L558" s="88">
        <f>SUM(F558:K558)</f>
        <v>11803.420000000002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>
        <v>11881.35</v>
      </c>
      <c r="G559" s="18">
        <v>4479.7700000000004</v>
      </c>
      <c r="H559" s="18">
        <v>794.58</v>
      </c>
      <c r="I559" s="18"/>
      <c r="J559" s="18"/>
      <c r="K559" s="18">
        <v>46.43</v>
      </c>
      <c r="L559" s="88">
        <f>SUM(F559:K559)</f>
        <v>17202.13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819310.77</v>
      </c>
      <c r="G560" s="108">
        <f t="shared" si="43"/>
        <v>325182.26000000007</v>
      </c>
      <c r="H560" s="108">
        <f t="shared" si="43"/>
        <v>33389.799999999996</v>
      </c>
      <c r="I560" s="108">
        <f t="shared" si="43"/>
        <v>27058.67</v>
      </c>
      <c r="J560" s="108">
        <f t="shared" si="43"/>
        <v>0</v>
      </c>
      <c r="K560" s="108">
        <f t="shared" si="43"/>
        <v>8879.2100000000009</v>
      </c>
      <c r="L560" s="89">
        <f t="shared" si="43"/>
        <v>1213820.7099999997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819310.77</v>
      </c>
      <c r="G571" s="89">
        <f t="shared" ref="G571:L571" si="46">G560+G565+G570</f>
        <v>325182.26000000007</v>
      </c>
      <c r="H571" s="89">
        <f t="shared" si="46"/>
        <v>33389.799999999996</v>
      </c>
      <c r="I571" s="89">
        <f t="shared" si="46"/>
        <v>27058.67</v>
      </c>
      <c r="J571" s="89">
        <f t="shared" si="46"/>
        <v>0</v>
      </c>
      <c r="K571" s="89">
        <f t="shared" si="46"/>
        <v>8879.2100000000009</v>
      </c>
      <c r="L571" s="89">
        <f t="shared" si="46"/>
        <v>1213820.7099999997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334324.02</v>
      </c>
      <c r="G579" s="18">
        <v>258998.45</v>
      </c>
      <c r="H579" s="18">
        <v>78911.78</v>
      </c>
      <c r="I579" s="87">
        <f t="shared" si="47"/>
        <v>672234.25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344936.69</v>
      </c>
      <c r="G582" s="18">
        <v>524958.15</v>
      </c>
      <c r="H582" s="18">
        <f>637497.18+5099.07</f>
        <v>642596.25</v>
      </c>
      <c r="I582" s="87">
        <f t="shared" si="47"/>
        <v>1512491.09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v>26659.51</v>
      </c>
      <c r="I584" s="87">
        <f t="shared" si="47"/>
        <v>26659.51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437481.06</v>
      </c>
      <c r="I591" s="18">
        <v>218205</v>
      </c>
      <c r="J591" s="18">
        <v>318008.71000000002</v>
      </c>
      <c r="K591" s="104">
        <f t="shared" ref="K591:K597" si="48">SUM(H591:J591)</f>
        <v>973694.77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250411.51</v>
      </c>
      <c r="I592" s="18">
        <v>265294.07</v>
      </c>
      <c r="J592" s="18">
        <v>279379.48</v>
      </c>
      <c r="K592" s="104">
        <f t="shared" si="48"/>
        <v>795085.06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v>26904</v>
      </c>
      <c r="K593" s="104">
        <f t="shared" si="48"/>
        <v>26904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>
        <v>7500</v>
      </c>
      <c r="J594" s="18">
        <v>83526.83</v>
      </c>
      <c r="K594" s="104">
        <f t="shared" si="48"/>
        <v>91026.83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>
        <v>1939.54</v>
      </c>
      <c r="J595" s="18">
        <v>6105.37</v>
      </c>
      <c r="K595" s="104">
        <f t="shared" si="48"/>
        <v>8044.91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687892.57000000007</v>
      </c>
      <c r="I598" s="108">
        <f>SUM(I591:I597)</f>
        <v>492938.61</v>
      </c>
      <c r="J598" s="108">
        <f>SUM(J591:J597)</f>
        <v>713924.3899999999</v>
      </c>
      <c r="K598" s="108">
        <f>SUM(K591:K597)</f>
        <v>1894755.57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133371.46</v>
      </c>
      <c r="I604" s="18">
        <v>66265.41</v>
      </c>
      <c r="J604" s="18">
        <f>179756.66-0.02</f>
        <v>179756.64</v>
      </c>
      <c r="K604" s="104">
        <f>SUM(H604:J604)</f>
        <v>379393.51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133371.46</v>
      </c>
      <c r="I605" s="108">
        <f>SUM(I602:I604)</f>
        <v>66265.41</v>
      </c>
      <c r="J605" s="108">
        <f>SUM(J602:J604)</f>
        <v>179756.64</v>
      </c>
      <c r="K605" s="108">
        <f>SUM(K602:K604)</f>
        <v>379393.51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>
        <v>5052.3100000000004</v>
      </c>
      <c r="G612" s="18">
        <v>798.13</v>
      </c>
      <c r="H612" s="18"/>
      <c r="I612" s="18"/>
      <c r="J612" s="18"/>
      <c r="K612" s="18"/>
      <c r="L612" s="88">
        <f>SUM(F612:K612)</f>
        <v>5850.4400000000005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>
        <v>18996.580000000002</v>
      </c>
      <c r="G613" s="18">
        <v>4243.04</v>
      </c>
      <c r="H613" s="18"/>
      <c r="I613" s="18"/>
      <c r="J613" s="18"/>
      <c r="K613" s="18"/>
      <c r="L613" s="88">
        <f>SUM(F613:K613)</f>
        <v>23239.620000000003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24048.890000000003</v>
      </c>
      <c r="G614" s="108">
        <f t="shared" si="49"/>
        <v>5041.17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29090.060000000005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0</v>
      </c>
      <c r="H617" s="109">
        <f>SUM(F52)</f>
        <v>0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114036.22</v>
      </c>
      <c r="H618" s="109">
        <f>SUM(G52)</f>
        <v>114036.22000000002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890757.03</v>
      </c>
      <c r="H619" s="109">
        <f>SUM(H52)</f>
        <v>890757.03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13466650.619999999</v>
      </c>
      <c r="H620" s="109">
        <f>SUM(I52)</f>
        <v>13466650.619999999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0</v>
      </c>
      <c r="H621" s="109">
        <f>SUM(J52)</f>
        <v>0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0</v>
      </c>
      <c r="H622" s="109">
        <f>F476</f>
        <v>0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16454.22</v>
      </c>
      <c r="H623" s="109">
        <f>G476</f>
        <v>16454.220000000205</v>
      </c>
      <c r="I623" s="121" t="s">
        <v>102</v>
      </c>
      <c r="J623" s="109">
        <f t="shared" si="50"/>
        <v>-2.0372681319713593E-10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6082.89</v>
      </c>
      <c r="H624" s="109">
        <f>H476</f>
        <v>6082.8900000001304</v>
      </c>
      <c r="I624" s="121" t="s">
        <v>103</v>
      </c>
      <c r="J624" s="109">
        <f t="shared" si="50"/>
        <v>-1.3005774235352874E-10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13466650.619999999</v>
      </c>
      <c r="H625" s="109">
        <f>I476</f>
        <v>13466650.619999999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0</v>
      </c>
      <c r="H626" s="109">
        <f>J476</f>
        <v>0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57473801.160000004</v>
      </c>
      <c r="H627" s="104">
        <f>SUM(F468)</f>
        <v>57473801.159999996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1831223.32</v>
      </c>
      <c r="H628" s="104">
        <f>SUM(G468)</f>
        <v>1831223.32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3435210.6799999997</v>
      </c>
      <c r="H629" s="104">
        <f>SUM(H468)</f>
        <v>3435210.68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13466650.619999999</v>
      </c>
      <c r="H630" s="104">
        <f>SUM(I468)</f>
        <v>13466650.619999999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0</v>
      </c>
      <c r="H631" s="104">
        <f>SUM(J468)</f>
        <v>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57364067.649999991</v>
      </c>
      <c r="H632" s="104">
        <f>SUM(F472)</f>
        <v>57364067.649999999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3434660.6799999992</v>
      </c>
      <c r="H633" s="104">
        <f>SUM(H472)</f>
        <v>3434660.68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800695.99</v>
      </c>
      <c r="H634" s="104">
        <f>I369</f>
        <v>800695.99000000011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1853692.9299999997</v>
      </c>
      <c r="H635" s="104">
        <f>SUM(G472)</f>
        <v>1853692.93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1071495.6499999999</v>
      </c>
      <c r="H636" s="104">
        <f>SUM(I472)</f>
        <v>1071495.6499999999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0</v>
      </c>
      <c r="H637" s="164">
        <f>SUM(J468)</f>
        <v>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0</v>
      </c>
      <c r="H642" s="104">
        <f>SUM(I461)</f>
        <v>0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0</v>
      </c>
      <c r="H646" s="104">
        <f>L408</f>
        <v>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1894755.57</v>
      </c>
      <c r="H647" s="104">
        <f>L208+L226+L244</f>
        <v>1894755.5699999998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379393.51</v>
      </c>
      <c r="H648" s="104">
        <f>(J257+J338)-(J255+J336)</f>
        <v>379393.51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687892.57</v>
      </c>
      <c r="H649" s="104">
        <f>H598</f>
        <v>687892.57000000007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492938.61</v>
      </c>
      <c r="H650" s="104">
        <f>I598</f>
        <v>492938.61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713924.39</v>
      </c>
      <c r="H651" s="104">
        <f>J598</f>
        <v>713924.3899999999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28435232.480000004</v>
      </c>
      <c r="G660" s="19">
        <f>(L229+L309+L359)</f>
        <v>12996322.539999995</v>
      </c>
      <c r="H660" s="19">
        <f>(L247+L328+L360)</f>
        <v>18989835.559999999</v>
      </c>
      <c r="I660" s="19">
        <f>SUM(F660:H660)</f>
        <v>60421390.579999998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338507.75778924266</v>
      </c>
      <c r="G661" s="19">
        <f>(L359/IF(SUM(L358:L360)=0,1,SUM(L358:L360))*(SUM(G97:G110)))</f>
        <v>144912.92746058543</v>
      </c>
      <c r="H661" s="19">
        <f>(L360/IF(SUM(L358:L360)=0,1,SUM(L358:L360))*(SUM(G97:G110)))</f>
        <v>215787.944750172</v>
      </c>
      <c r="I661" s="19">
        <f>SUM(F661:H661)</f>
        <v>699208.63000000012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687892.57</v>
      </c>
      <c r="G662" s="19">
        <f>(L226+L306)-(J226+J306)</f>
        <v>492938.61</v>
      </c>
      <c r="H662" s="19">
        <f>(L244+L325)-(J244+J325)</f>
        <v>713924.39</v>
      </c>
      <c r="I662" s="19">
        <f>SUM(F662:H662)</f>
        <v>1894755.5699999998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812632.16999999993</v>
      </c>
      <c r="G663" s="199">
        <f>SUM(G575:G587)+SUM(I602:I604)+L612</f>
        <v>856072.45000000007</v>
      </c>
      <c r="H663" s="199">
        <f>SUM(H575:H587)+SUM(J602:J604)+L613</f>
        <v>951163.8</v>
      </c>
      <c r="I663" s="19">
        <f>SUM(F663:H663)</f>
        <v>2619868.42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26596199.982210763</v>
      </c>
      <c r="G664" s="19">
        <f>G660-SUM(G661:G663)</f>
        <v>11502398.55253941</v>
      </c>
      <c r="H664" s="19">
        <f>H660-SUM(H661:H663)</f>
        <v>17108959.425249826</v>
      </c>
      <c r="I664" s="19">
        <f>I660-SUM(I661:I663)</f>
        <v>55207557.960000001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1912.35</v>
      </c>
      <c r="G665" s="248">
        <v>953.59</v>
      </c>
      <c r="H665" s="248">
        <v>1389.97</v>
      </c>
      <c r="I665" s="19">
        <f>SUM(F665:H665)</f>
        <v>4255.91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13907.6</v>
      </c>
      <c r="G667" s="19">
        <f>ROUND(G664/G665,2)</f>
        <v>12062.21</v>
      </c>
      <c r="H667" s="19">
        <f>ROUND(H664/H665,2)</f>
        <v>12308.87</v>
      </c>
      <c r="I667" s="19">
        <f>ROUND(I664/I665,2)</f>
        <v>12971.97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-5.78</v>
      </c>
      <c r="I670" s="19">
        <f>SUM(F670:H670)</f>
        <v>-5.78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13907.6</v>
      </c>
      <c r="G672" s="19">
        <f>ROUND((G664+G669)/(G665+G670),2)</f>
        <v>12062.21</v>
      </c>
      <c r="H672" s="19">
        <f>ROUND((H664+H669)/(H665+H670),2)</f>
        <v>12360.27</v>
      </c>
      <c r="I672" s="19">
        <f>ROUND((I664+I669)/(I665+I670),2)</f>
        <v>12989.62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C40" sqref="C4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Rochester School Department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15310018.179999998</v>
      </c>
      <c r="C9" s="229">
        <f>'DOE25'!G197+'DOE25'!G215+'DOE25'!G233+'DOE25'!G276+'DOE25'!G295+'DOE25'!G314</f>
        <v>6050250.9800000004</v>
      </c>
    </row>
    <row r="10" spans="1:3" x14ac:dyDescent="0.2">
      <c r="A10" t="s">
        <v>779</v>
      </c>
      <c r="B10" s="240">
        <f>88161.44+174122.32+6617218.1+3438567.2+3872806.52-0.13</f>
        <v>14190875.449999997</v>
      </c>
      <c r="C10" s="240">
        <f>14783.73+384.86+19.95+7417.76+11714.8+600.94+46349.71+580.21+36.47+12800.71+69.54+24655.77+27844.52+789.21+1188904.39+20664.88+1196.08+914233.24+24897.79+506217.18-24899.01+784623.04+11613.3+594.52+486824.48+12810.97+246312.3+808924.84+12465.3+706.04+524485.15+15842.73+277732.75-19075.64</f>
        <v>5943122.5100000007</v>
      </c>
    </row>
    <row r="11" spans="1:3" x14ac:dyDescent="0.2">
      <c r="A11" t="s">
        <v>780</v>
      </c>
      <c r="B11" s="240">
        <f>4539.26+423108.05+57330.94+127430.05</f>
        <v>612408.30000000005</v>
      </c>
      <c r="C11" s="240">
        <f>32367.77+2782.61+4385.82+9.42+10887.58+17930.09</f>
        <v>68363.289999999994</v>
      </c>
    </row>
    <row r="12" spans="1:3" x14ac:dyDescent="0.2">
      <c r="A12" t="s">
        <v>781</v>
      </c>
      <c r="B12" s="240">
        <f>9900+224564.45+93739.34+163639.33+14891.31</f>
        <v>506734.43</v>
      </c>
      <c r="C12" s="240">
        <v>38765.18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15310018.179999998</v>
      </c>
      <c r="C13" s="231">
        <f>SUM(C10:C12)</f>
        <v>6050250.9800000004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9087020.9200000018</v>
      </c>
      <c r="C18" s="229">
        <f>'DOE25'!G198+'DOE25'!G216+'DOE25'!G234+'DOE25'!G277+'DOE25'!G296+'DOE25'!G315</f>
        <v>3544915.3899999997</v>
      </c>
    </row>
    <row r="19" spans="1:3" x14ac:dyDescent="0.2">
      <c r="A19" t="s">
        <v>779</v>
      </c>
      <c r="B19" s="240">
        <f>527054.59+563810.42+189632.88+3119305.69+917552.57+697839.82+0.02</f>
        <v>6015195.9900000002</v>
      </c>
      <c r="C19" s="240">
        <f>133837.43+2092.03+93.73+63439.64+196.45+1590.62+116.75+71549.12+2847+50265.13+604.73+28.53+13275.62+17365.32+1106.12+819977.31+11755.07+633.27+447734.7+17103.36+410177.36+4882.26+281.18+99406.34+129723.68+4802.49+384999.76+5878.71+239.41+96049.56+4660.19+452318.8</f>
        <v>3249031.67</v>
      </c>
    </row>
    <row r="20" spans="1:3" x14ac:dyDescent="0.2">
      <c r="A20" t="s">
        <v>780</v>
      </c>
      <c r="B20" s="240">
        <f>245053.2+150768.26+35889.73+1213119.22+108766.96+416147.82+526820.29</f>
        <v>2696565.48</v>
      </c>
      <c r="C20" s="240">
        <f>206287.26+2199.34+6315.84+12993.54+23094.11+16286.28</f>
        <v>267176.37000000005</v>
      </c>
    </row>
    <row r="21" spans="1:3" x14ac:dyDescent="0.2">
      <c r="A21" t="s">
        <v>781</v>
      </c>
      <c r="B21" s="240">
        <f>703.2+161907.73+28263.32+6500+30357.53+19271.02+48086.91+19762.95+60406.79</f>
        <v>375259.45</v>
      </c>
      <c r="C21" s="240">
        <v>28707.35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9087020.9199999999</v>
      </c>
      <c r="C22" s="231">
        <f>SUM(C19:C21)</f>
        <v>3544915.39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1197767.17</v>
      </c>
      <c r="C27" s="234">
        <f>'DOE25'!G199+'DOE25'!G217+'DOE25'!G235+'DOE25'!G278+'DOE25'!G297+'DOE25'!G316</f>
        <v>568279.24</v>
      </c>
    </row>
    <row r="28" spans="1:3" x14ac:dyDescent="0.2">
      <c r="A28" t="s">
        <v>779</v>
      </c>
      <c r="B28" s="240">
        <f>1425+1106515.37</f>
        <v>1107940.3700000001</v>
      </c>
      <c r="C28" s="240">
        <f>104.35+201.78+331297.63+3315.84+180.97+77465.93+155712.75-1993.74-0.01</f>
        <v>566285.5</v>
      </c>
    </row>
    <row r="29" spans="1:3" x14ac:dyDescent="0.2">
      <c r="A29" t="s">
        <v>780</v>
      </c>
      <c r="B29" s="240">
        <v>63764.81</v>
      </c>
      <c r="C29" s="240"/>
    </row>
    <row r="30" spans="1:3" x14ac:dyDescent="0.2">
      <c r="A30" t="s">
        <v>781</v>
      </c>
      <c r="B30" s="240">
        <v>26061.99</v>
      </c>
      <c r="C30" s="240">
        <v>1993.74</v>
      </c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1197767.1700000002</v>
      </c>
      <c r="C31" s="231">
        <f>SUM(C28:C30)</f>
        <v>568279.24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317548.69</v>
      </c>
      <c r="C36" s="235">
        <f>'DOE25'!G200+'DOE25'!G218+'DOE25'!G236+'DOE25'!G279+'DOE25'!G298+'DOE25'!G317</f>
        <v>86810.14</v>
      </c>
    </row>
    <row r="37" spans="1:3" x14ac:dyDescent="0.2">
      <c r="A37" t="s">
        <v>779</v>
      </c>
      <c r="B37" s="240">
        <f>2469.31+18996.58+194816.89</f>
        <v>216282.78000000003</v>
      </c>
      <c r="C37" s="240">
        <f>386.5+349.65+61.98+1443.71+62.86+2607.26+129.21+28827.9+280.73+97.56+28570.26+1240.56+14903.42</f>
        <v>78961.599999999991</v>
      </c>
    </row>
    <row r="38" spans="1:3" x14ac:dyDescent="0.2">
      <c r="A38" t="s">
        <v>780</v>
      </c>
      <c r="B38" s="240">
        <v>2583</v>
      </c>
      <c r="C38" s="240">
        <v>877.34</v>
      </c>
    </row>
    <row r="39" spans="1:3" x14ac:dyDescent="0.2">
      <c r="A39" t="s">
        <v>781</v>
      </c>
      <c r="B39" s="240">
        <f>74907.3+23775.61</f>
        <v>98682.91</v>
      </c>
      <c r="C39" s="240">
        <v>6971.2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317548.69000000006</v>
      </c>
      <c r="C40" s="231">
        <f>SUM(C37:C39)</f>
        <v>86810.139999999985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A5" sqref="A5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Rochester School Department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38487774.579999998</v>
      </c>
      <c r="D5" s="20">
        <f>SUM('DOE25'!L197:L200)+SUM('DOE25'!L215:L218)+SUM('DOE25'!L233:L236)-F5-G5</f>
        <v>38321819.700000003</v>
      </c>
      <c r="E5" s="243"/>
      <c r="F5" s="255">
        <f>SUM('DOE25'!J197:J200)+SUM('DOE25'!J215:J218)+SUM('DOE25'!J233:J236)</f>
        <v>83425.8</v>
      </c>
      <c r="G5" s="53">
        <f>SUM('DOE25'!K197:K200)+SUM('DOE25'!K215:K218)+SUM('DOE25'!K233:K236)</f>
        <v>82529.08</v>
      </c>
      <c r="H5" s="259"/>
    </row>
    <row r="6" spans="1:9" x14ac:dyDescent="0.2">
      <c r="A6" s="32">
        <v>2100</v>
      </c>
      <c r="B6" t="s">
        <v>801</v>
      </c>
      <c r="C6" s="245">
        <f t="shared" si="0"/>
        <v>2800070.0700000003</v>
      </c>
      <c r="D6" s="20">
        <f>'DOE25'!L202+'DOE25'!L220+'DOE25'!L238-F6-G6</f>
        <v>2791767.6700000004</v>
      </c>
      <c r="E6" s="243"/>
      <c r="F6" s="255">
        <f>'DOE25'!J202+'DOE25'!J220+'DOE25'!J238</f>
        <v>7672.4</v>
      </c>
      <c r="G6" s="53">
        <f>'DOE25'!K202+'DOE25'!K220+'DOE25'!K238</f>
        <v>630</v>
      </c>
      <c r="H6" s="259"/>
    </row>
    <row r="7" spans="1:9" x14ac:dyDescent="0.2">
      <c r="A7" s="32">
        <v>2200</v>
      </c>
      <c r="B7" t="s">
        <v>834</v>
      </c>
      <c r="C7" s="245">
        <f t="shared" si="0"/>
        <v>1976558.27</v>
      </c>
      <c r="D7" s="20">
        <f>'DOE25'!L203+'DOE25'!L221+'DOE25'!L239-F7-G7</f>
        <v>1855414.32</v>
      </c>
      <c r="E7" s="243"/>
      <c r="F7" s="255">
        <f>'DOE25'!J203+'DOE25'!J221+'DOE25'!J239</f>
        <v>120231.95</v>
      </c>
      <c r="G7" s="53">
        <f>'DOE25'!K203+'DOE25'!K221+'DOE25'!K239</f>
        <v>912</v>
      </c>
      <c r="H7" s="259"/>
    </row>
    <row r="8" spans="1:9" x14ac:dyDescent="0.2">
      <c r="A8" s="32">
        <v>2300</v>
      </c>
      <c r="B8" t="s">
        <v>802</v>
      </c>
      <c r="C8" s="245">
        <f t="shared" si="0"/>
        <v>1325630.57</v>
      </c>
      <c r="D8" s="243"/>
      <c r="E8" s="20">
        <f>'DOE25'!L204+'DOE25'!L222+'DOE25'!L240-F8-G8-D9-D11</f>
        <v>1242705.74</v>
      </c>
      <c r="F8" s="255">
        <f>'DOE25'!J204+'DOE25'!J222+'DOE25'!J240</f>
        <v>48962</v>
      </c>
      <c r="G8" s="53">
        <f>'DOE25'!K204+'DOE25'!K222+'DOE25'!K240</f>
        <v>33962.83</v>
      </c>
      <c r="H8" s="259"/>
    </row>
    <row r="9" spans="1:9" x14ac:dyDescent="0.2">
      <c r="A9" s="32">
        <v>2310</v>
      </c>
      <c r="B9" t="s">
        <v>818</v>
      </c>
      <c r="C9" s="245">
        <f t="shared" si="0"/>
        <v>173839.43</v>
      </c>
      <c r="D9" s="244">
        <v>173839.43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5400</v>
      </c>
      <c r="D10" s="243"/>
      <c r="E10" s="244">
        <v>5400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478028.69</v>
      </c>
      <c r="D11" s="244">
        <v>478028.69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3069278.67</v>
      </c>
      <c r="D12" s="20">
        <f>'DOE25'!L205+'DOE25'!L223+'DOE25'!L241-F12-G12</f>
        <v>3055116.1</v>
      </c>
      <c r="E12" s="243"/>
      <c r="F12" s="255">
        <f>'DOE25'!J205+'DOE25'!J223+'DOE25'!J241</f>
        <v>922.57</v>
      </c>
      <c r="G12" s="53">
        <f>'DOE25'!K205+'DOE25'!K223+'DOE25'!K241</f>
        <v>13240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563483.57999999996</v>
      </c>
      <c r="D13" s="243"/>
      <c r="E13" s="20">
        <f>'DOE25'!L206+'DOE25'!L224+'DOE25'!L242-F13-G13</f>
        <v>494291.66</v>
      </c>
      <c r="F13" s="255">
        <f>'DOE25'!J206+'DOE25'!J224+'DOE25'!J242</f>
        <v>0</v>
      </c>
      <c r="G13" s="53">
        <f>'DOE25'!K206+'DOE25'!K224+'DOE25'!K242</f>
        <v>69191.92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4389916.68</v>
      </c>
      <c r="D14" s="20">
        <f>'DOE25'!L207+'DOE25'!L225+'DOE25'!L243-F14-G14</f>
        <v>4374117.41</v>
      </c>
      <c r="E14" s="243"/>
      <c r="F14" s="255">
        <f>'DOE25'!J207+'DOE25'!J225+'DOE25'!J243</f>
        <v>15034.27</v>
      </c>
      <c r="G14" s="53">
        <f>'DOE25'!K207+'DOE25'!K225+'DOE25'!K243</f>
        <v>765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1894755.5699999998</v>
      </c>
      <c r="D15" s="20">
        <f>'DOE25'!L208+'DOE25'!L226+'DOE25'!L244-F15-G15</f>
        <v>1894755.5699999998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2124.4900000000002</v>
      </c>
      <c r="D16" s="243"/>
      <c r="E16" s="20">
        <f>'DOE25'!L209+'DOE25'!L227+'DOE25'!L245-F16-G16</f>
        <v>2124.4900000000002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4862.9400000000005</v>
      </c>
      <c r="D17" s="20">
        <f>'DOE25'!L251-F17-G17</f>
        <v>4862.9400000000005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2197744.1100000003</v>
      </c>
      <c r="D25" s="243"/>
      <c r="E25" s="243"/>
      <c r="F25" s="258"/>
      <c r="G25" s="256"/>
      <c r="H25" s="257">
        <f>'DOE25'!L260+'DOE25'!L261+'DOE25'!L341+'DOE25'!L342</f>
        <v>2197744.1100000003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1133403.3399999996</v>
      </c>
      <c r="D29" s="20">
        <f>'DOE25'!L358+'DOE25'!L359+'DOE25'!L360-'DOE25'!I367-F29-G29</f>
        <v>1132944.9399999997</v>
      </c>
      <c r="E29" s="243"/>
      <c r="F29" s="255">
        <f>'DOE25'!J358+'DOE25'!J359+'DOE25'!J360</f>
        <v>0</v>
      </c>
      <c r="G29" s="53">
        <f>'DOE25'!K358+'DOE25'!K359+'DOE25'!K360</f>
        <v>458.4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3433128.6799999992</v>
      </c>
      <c r="D31" s="20">
        <f>'DOE25'!L290+'DOE25'!L309+'DOE25'!L328+'DOE25'!L333+'DOE25'!L334+'DOE25'!L335-F31-G31</f>
        <v>3158365.0799999991</v>
      </c>
      <c r="E31" s="243"/>
      <c r="F31" s="255">
        <f>'DOE25'!J290+'DOE25'!J309+'DOE25'!J328+'DOE25'!J333+'DOE25'!J334+'DOE25'!J335</f>
        <v>103144.52</v>
      </c>
      <c r="G31" s="53">
        <f>'DOE25'!K290+'DOE25'!K309+'DOE25'!K328+'DOE25'!K333+'DOE25'!K334+'DOE25'!K335</f>
        <v>171619.08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57241031.850000001</v>
      </c>
      <c r="E33" s="246">
        <f>SUM(E5:E31)</f>
        <v>1744521.89</v>
      </c>
      <c r="F33" s="246">
        <f>SUM(F5:F31)</f>
        <v>379393.51</v>
      </c>
      <c r="G33" s="246">
        <f>SUM(G5:G31)</f>
        <v>373308.31</v>
      </c>
      <c r="H33" s="246">
        <f>SUM(H5:H31)</f>
        <v>2197744.1100000003</v>
      </c>
    </row>
    <row r="35" spans="2:8" ht="12" thickBot="1" x14ac:dyDescent="0.25">
      <c r="B35" s="253" t="s">
        <v>847</v>
      </c>
      <c r="D35" s="254">
        <f>E33</f>
        <v>1744521.89</v>
      </c>
      <c r="E35" s="249"/>
    </row>
    <row r="36" spans="2:8" ht="12" thickTop="1" x14ac:dyDescent="0.2">
      <c r="B36" t="s">
        <v>815</v>
      </c>
      <c r="D36" s="20">
        <f>D33</f>
        <v>57241031.850000001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A3" sqref="A3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Rochester School Department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0</v>
      </c>
      <c r="D8" s="95">
        <f>'DOE25'!G9</f>
        <v>0</v>
      </c>
      <c r="E8" s="95">
        <f>'DOE25'!H9</f>
        <v>0</v>
      </c>
      <c r="F8" s="95">
        <f>'DOE25'!I9</f>
        <v>13466650.619999999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0</v>
      </c>
      <c r="E12" s="95">
        <f>'DOE25'!H13</f>
        <v>890757.03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97582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16454.22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0</v>
      </c>
      <c r="D18" s="41">
        <f>SUM(D8:D17)</f>
        <v>114036.22</v>
      </c>
      <c r="E18" s="41">
        <f>SUM(E8:E17)</f>
        <v>890757.03</v>
      </c>
      <c r="F18" s="41">
        <f>SUM(F8:F17)</f>
        <v>13466650.619999999</v>
      </c>
      <c r="G18" s="41">
        <f>SUM(G8:G17)</f>
        <v>0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96435.790000000008</v>
      </c>
      <c r="E21" s="95">
        <f>'DOE25'!H22</f>
        <v>883120.1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0</v>
      </c>
      <c r="D23" s="95">
        <f>'DOE25'!G24</f>
        <v>1146.21</v>
      </c>
      <c r="E23" s="95">
        <f>'DOE25'!H24</f>
        <v>1554.04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0</v>
      </c>
      <c r="D31" s="41">
        <f>SUM(D21:D30)</f>
        <v>97582.000000000015</v>
      </c>
      <c r="E31" s="41">
        <f>SUM(E21:E30)</f>
        <v>884674.14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16454.22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10140100.289999999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6082.89</v>
      </c>
      <c r="F47" s="95">
        <f>'DOE25'!I48</f>
        <v>3326550.33</v>
      </c>
      <c r="G47" s="95">
        <f>'DOE25'!J48</f>
        <v>0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0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0</v>
      </c>
      <c r="D50" s="41">
        <f>SUM(D34:D49)</f>
        <v>16454.22</v>
      </c>
      <c r="E50" s="41">
        <f>SUM(E34:E49)</f>
        <v>6082.89</v>
      </c>
      <c r="F50" s="41">
        <f>SUM(F34:F49)</f>
        <v>13466650.619999999</v>
      </c>
      <c r="G50" s="41">
        <f>SUM(G34:G49)</f>
        <v>0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0</v>
      </c>
      <c r="D51" s="41">
        <f>D50+D31</f>
        <v>114036.22000000002</v>
      </c>
      <c r="E51" s="41">
        <f>E50+E31</f>
        <v>890757.03</v>
      </c>
      <c r="F51" s="41">
        <f>F50+F31</f>
        <v>13466650.619999999</v>
      </c>
      <c r="G51" s="41">
        <f>G50+G31</f>
        <v>0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24651302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2100849.4300000002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0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683524.08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856803.1</v>
      </c>
      <c r="D61" s="95">
        <f>SUM('DOE25'!G98:G110)</f>
        <v>15684.55</v>
      </c>
      <c r="E61" s="95">
        <f>SUM('DOE25'!H98:H110)</f>
        <v>0</v>
      </c>
      <c r="F61" s="95">
        <f>SUM('DOE25'!I98:I110)</f>
        <v>13466650.619999999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2957652.5300000003</v>
      </c>
      <c r="D62" s="130">
        <f>SUM(D57:D61)</f>
        <v>699208.63</v>
      </c>
      <c r="E62" s="130">
        <f>SUM(E57:E61)</f>
        <v>0</v>
      </c>
      <c r="F62" s="130">
        <f>SUM(F57:F61)</f>
        <v>13466650.619999999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27608954.530000001</v>
      </c>
      <c r="D63" s="22">
        <f>D56+D62</f>
        <v>699208.63</v>
      </c>
      <c r="E63" s="22">
        <f>E56+E62</f>
        <v>0</v>
      </c>
      <c r="F63" s="22">
        <f>F56+F62</f>
        <v>13466650.619999999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22782520.199999999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4839669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27622189.199999999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838299.2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321049.18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60151.88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100984.05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1219500.2599999998</v>
      </c>
      <c r="D78" s="130">
        <f>SUM(D72:D77)</f>
        <v>100984.05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28841689.460000001</v>
      </c>
      <c r="D81" s="130">
        <f>SUM(D79:D80)+D78+D70</f>
        <v>100984.05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77205.27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879684.31</v>
      </c>
      <c r="D88" s="95">
        <f>SUM('DOE25'!G153:G161)</f>
        <v>1031030.64</v>
      </c>
      <c r="E88" s="95">
        <f>SUM('DOE25'!H153:H161)</f>
        <v>3435210.6799999997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66267.59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1023157.17</v>
      </c>
      <c r="D91" s="131">
        <f>SUM(D85:D90)</f>
        <v>1031030.64</v>
      </c>
      <c r="E91" s="131">
        <f>SUM(E85:E90)</f>
        <v>3435210.6799999997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57473801.160000004</v>
      </c>
      <c r="D104" s="86">
        <f>D63+D81+D91+D103</f>
        <v>1831223.32</v>
      </c>
      <c r="E104" s="86">
        <f>E63+E81+E91+E103</f>
        <v>3435210.6799999997</v>
      </c>
      <c r="F104" s="86">
        <f>F63+F81+F91+F103</f>
        <v>13466650.619999999</v>
      </c>
      <c r="G104" s="86">
        <f>G63+G81+G103</f>
        <v>0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21858208.73</v>
      </c>
      <c r="D109" s="24" t="s">
        <v>289</v>
      </c>
      <c r="E109" s="95">
        <f>('DOE25'!L276)+('DOE25'!L295)+('DOE25'!L314)</f>
        <v>206419.50000000003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14201370.75</v>
      </c>
      <c r="D110" s="24" t="s">
        <v>289</v>
      </c>
      <c r="E110" s="95">
        <f>('DOE25'!L277)+('DOE25'!L296)+('DOE25'!L315)</f>
        <v>2087204.5799999996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1855789.69</v>
      </c>
      <c r="D111" s="24" t="s">
        <v>289</v>
      </c>
      <c r="E111" s="95">
        <f>('DOE25'!L278)+('DOE25'!L297)+('DOE25'!L316)</f>
        <v>136350.07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572405.41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1532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4862.9400000000005</v>
      </c>
      <c r="D114" s="24" t="s">
        <v>289</v>
      </c>
      <c r="E114" s="95">
        <f>+ SUM('DOE25'!L333:L335)</f>
        <v>26891.63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38492637.519999996</v>
      </c>
      <c r="D115" s="86">
        <f>SUM(D109:D114)</f>
        <v>0</v>
      </c>
      <c r="E115" s="86">
        <f>SUM(E109:E114)</f>
        <v>2458397.7799999993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2800070.0700000003</v>
      </c>
      <c r="D118" s="24" t="s">
        <v>289</v>
      </c>
      <c r="E118" s="95">
        <f>+('DOE25'!L281)+('DOE25'!L300)+('DOE25'!L319)</f>
        <v>6119.0599999999995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1976558.27</v>
      </c>
      <c r="D119" s="24" t="s">
        <v>289</v>
      </c>
      <c r="E119" s="95">
        <f>+('DOE25'!L282)+('DOE25'!L301)+('DOE25'!L320)</f>
        <v>434754.9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1977498.69</v>
      </c>
      <c r="D120" s="24" t="s">
        <v>289</v>
      </c>
      <c r="E120" s="95">
        <f>+('DOE25'!L283)+('DOE25'!L302)+('DOE25'!L321)</f>
        <v>175615.03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3069278.67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563483.57999999996</v>
      </c>
      <c r="D122" s="24" t="s">
        <v>289</v>
      </c>
      <c r="E122" s="95">
        <f>+('DOE25'!L285)+('DOE25'!L304)+('DOE25'!L323)</f>
        <v>65809.19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4389916.68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1894755.5699999998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2124.4900000000002</v>
      </c>
      <c r="D125" s="24" t="s">
        <v>289</v>
      </c>
      <c r="E125" s="95">
        <f>+('DOE25'!L288)+('DOE25'!L307)+('DOE25'!L326)</f>
        <v>293964.71999999997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1853692.9299999997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16673686.02</v>
      </c>
      <c r="D128" s="86">
        <f>SUM(D118:D127)</f>
        <v>1853692.9299999997</v>
      </c>
      <c r="E128" s="86">
        <f>SUM(E118:E127)</f>
        <v>976262.89999999991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1071495.6499999999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1813748.34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383995.77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2197744.1100000003</v>
      </c>
      <c r="D144" s="141">
        <f>SUM(D130:D143)</f>
        <v>0</v>
      </c>
      <c r="E144" s="141">
        <f>SUM(E130:E143)</f>
        <v>0</v>
      </c>
      <c r="F144" s="141">
        <f>SUM(F130:F143)</f>
        <v>1071495.6499999999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57364067.649999991</v>
      </c>
      <c r="D145" s="86">
        <f>(D115+D128+D144)</f>
        <v>1853692.9299999997</v>
      </c>
      <c r="E145" s="86">
        <f>(E115+E128+E144)</f>
        <v>3434660.6799999992</v>
      </c>
      <c r="F145" s="86">
        <f>(F115+F128+F144)</f>
        <v>1071495.6499999999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 t="str">
        <f>'DOE25'!F490</f>
        <v>VARIES</v>
      </c>
      <c r="C151" s="153">
        <f>'DOE25'!G490</f>
        <v>20</v>
      </c>
      <c r="D151" s="153">
        <f>'DOE25'!H490</f>
        <v>20</v>
      </c>
      <c r="E151" s="153">
        <f>'DOE25'!I490</f>
        <v>20</v>
      </c>
      <c r="F151" s="153" t="str">
        <f>'DOE25'!J490</f>
        <v>VARIES</v>
      </c>
      <c r="G151" s="24" t="s">
        <v>289</v>
      </c>
    </row>
    <row r="152" spans="1:9" x14ac:dyDescent="0.2">
      <c r="A152" s="136" t="s">
        <v>28</v>
      </c>
      <c r="B152" s="152" t="str">
        <f>'DOE25'!F491</f>
        <v>VARIES</v>
      </c>
      <c r="C152" s="152" t="str">
        <f>'DOE25'!G491</f>
        <v>7/1/01</v>
      </c>
      <c r="D152" s="152" t="str">
        <f>'DOE25'!H491</f>
        <v>7/1/03</v>
      </c>
      <c r="E152" s="152" t="str">
        <f>'DOE25'!I491</f>
        <v>7/1/05</v>
      </c>
      <c r="F152" s="152" t="str">
        <f>'DOE25'!J491</f>
        <v>VARIES</v>
      </c>
      <c r="G152" s="24" t="s">
        <v>289</v>
      </c>
    </row>
    <row r="153" spans="1:9" x14ac:dyDescent="0.2">
      <c r="A153" s="136" t="s">
        <v>29</v>
      </c>
      <c r="B153" s="152" t="str">
        <f>'DOE25'!F492</f>
        <v>PRIOR TO 2020</v>
      </c>
      <c r="C153" s="152" t="str">
        <f>'DOE25'!G492</f>
        <v>7/1/21</v>
      </c>
      <c r="D153" s="152" t="str">
        <f>'DOE25'!H492</f>
        <v>7/1/23</v>
      </c>
      <c r="E153" s="152" t="str">
        <f>'DOE25'!I492</f>
        <v>7/1/25</v>
      </c>
      <c r="F153" s="152" t="str">
        <f>'DOE25'!J492</f>
        <v>AFTER 2027</v>
      </c>
      <c r="G153" s="24" t="s">
        <v>289</v>
      </c>
    </row>
    <row r="154" spans="1:9" x14ac:dyDescent="0.2">
      <c r="A154" s="136" t="s">
        <v>30</v>
      </c>
      <c r="B154" s="137" t="str">
        <f>'DOE25'!F493</f>
        <v>VARIES</v>
      </c>
      <c r="C154" s="137">
        <f>'DOE25'!G493</f>
        <v>4704717</v>
      </c>
      <c r="D154" s="137">
        <f>'DOE25'!H493</f>
        <v>3237000</v>
      </c>
      <c r="E154" s="137">
        <f>'DOE25'!I493</f>
        <v>1378525</v>
      </c>
      <c r="F154" s="137">
        <f>'DOE25'!J493</f>
        <v>1992991</v>
      </c>
      <c r="G154" s="24" t="s">
        <v>289</v>
      </c>
    </row>
    <row r="155" spans="1:9" x14ac:dyDescent="0.2">
      <c r="A155" s="136" t="s">
        <v>31</v>
      </c>
      <c r="B155" s="137" t="str">
        <f>'DOE25'!F494</f>
        <v>VARIES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3906298</v>
      </c>
      <c r="C156" s="137">
        <f>'DOE25'!G495</f>
        <v>1528209</v>
      </c>
      <c r="D156" s="137">
        <f>'DOE25'!H495</f>
        <v>1587000</v>
      </c>
      <c r="E156" s="137">
        <f>'DOE25'!I495</f>
        <v>1005042</v>
      </c>
      <c r="F156" s="137">
        <f>'DOE25'!J495</f>
        <v>2876559</v>
      </c>
      <c r="G156" s="138">
        <f>SUM(B156:F156)</f>
        <v>10903108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2725837</v>
      </c>
      <c r="C159" s="137">
        <f>'DOE25'!G498</f>
        <v>1331370</v>
      </c>
      <c r="D159" s="137">
        <f>'DOE25'!H498</f>
        <v>1427000</v>
      </c>
      <c r="E159" s="137">
        <f>'DOE25'!I498</f>
        <v>902886</v>
      </c>
      <c r="F159" s="137">
        <f>'DOE25'!J498</f>
        <v>2702266</v>
      </c>
      <c r="G159" s="138">
        <f t="shared" si="0"/>
        <v>9089359</v>
      </c>
    </row>
    <row r="160" spans="1:9" x14ac:dyDescent="0.2">
      <c r="A160" s="22" t="s">
        <v>36</v>
      </c>
      <c r="B160" s="137">
        <f>'DOE25'!F499</f>
        <v>204409</v>
      </c>
      <c r="C160" s="137">
        <f>'DOE25'!G499</f>
        <v>88033</v>
      </c>
      <c r="D160" s="137">
        <f>'DOE25'!H499</f>
        <v>293527</v>
      </c>
      <c r="E160" s="137">
        <f>'DOE25'!I499</f>
        <v>110406</v>
      </c>
      <c r="F160" s="137">
        <f>'DOE25'!J499</f>
        <v>817664</v>
      </c>
      <c r="G160" s="138">
        <f t="shared" si="0"/>
        <v>1514039</v>
      </c>
    </row>
    <row r="161" spans="1:7" x14ac:dyDescent="0.2">
      <c r="A161" s="22" t="s">
        <v>37</v>
      </c>
      <c r="B161" s="137">
        <f>'DOE25'!F500</f>
        <v>2930246</v>
      </c>
      <c r="C161" s="137">
        <f>'DOE25'!G500</f>
        <v>1419403</v>
      </c>
      <c r="D161" s="137">
        <f>'DOE25'!H500</f>
        <v>1720527</v>
      </c>
      <c r="E161" s="137">
        <f>'DOE25'!I500</f>
        <v>1013292</v>
      </c>
      <c r="F161" s="137">
        <f>'DOE25'!J500</f>
        <v>3519930</v>
      </c>
      <c r="G161" s="138">
        <f t="shared" si="0"/>
        <v>10603398</v>
      </c>
    </row>
    <row r="162" spans="1:7" x14ac:dyDescent="0.2">
      <c r="A162" s="22" t="s">
        <v>38</v>
      </c>
      <c r="B162" s="137">
        <f>'DOE25'!F501</f>
        <v>1177794</v>
      </c>
      <c r="C162" s="137">
        <f>'DOE25'!G501</f>
        <v>195677</v>
      </c>
      <c r="D162" s="137">
        <f>'DOE25'!H501</f>
        <v>160000</v>
      </c>
      <c r="E162" s="137">
        <f>'DOE25'!I501</f>
        <v>98580</v>
      </c>
      <c r="F162" s="137">
        <f>'DOE25'!J501</f>
        <v>179293</v>
      </c>
      <c r="G162" s="138">
        <f t="shared" si="0"/>
        <v>1811344</v>
      </c>
    </row>
    <row r="163" spans="1:7" x14ac:dyDescent="0.2">
      <c r="A163" s="22" t="s">
        <v>39</v>
      </c>
      <c r="B163" s="137">
        <f>'DOE25'!F502</f>
        <v>113490</v>
      </c>
      <c r="C163" s="137">
        <f>'DOE25'!G502</f>
        <v>23785</v>
      </c>
      <c r="D163" s="137">
        <f>'DOE25'!H502</f>
        <v>61709</v>
      </c>
      <c r="E163" s="137">
        <f>'DOE25'!I502</f>
        <v>21013</v>
      </c>
      <c r="F163" s="137">
        <f>'DOE25'!J502</f>
        <v>96909</v>
      </c>
      <c r="G163" s="138">
        <f t="shared" si="0"/>
        <v>316906</v>
      </c>
    </row>
    <row r="164" spans="1:7" x14ac:dyDescent="0.2">
      <c r="A164" s="22" t="s">
        <v>246</v>
      </c>
      <c r="B164" s="137">
        <f>'DOE25'!F503</f>
        <v>1291284</v>
      </c>
      <c r="C164" s="137">
        <f>'DOE25'!G503</f>
        <v>219462</v>
      </c>
      <c r="D164" s="137">
        <f>'DOE25'!H503</f>
        <v>221709</v>
      </c>
      <c r="E164" s="137">
        <f>'DOE25'!I503</f>
        <v>119593</v>
      </c>
      <c r="F164" s="137">
        <f>'DOE25'!J503</f>
        <v>276202</v>
      </c>
      <c r="G164" s="138">
        <f t="shared" si="0"/>
        <v>2128250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sqref="A1:D1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Rochester School Department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13908</v>
      </c>
    </row>
    <row r="5" spans="1:4" x14ac:dyDescent="0.2">
      <c r="B5" t="s">
        <v>704</v>
      </c>
      <c r="C5" s="179">
        <f>IF('DOE25'!G665+'DOE25'!G670=0,0,ROUND('DOE25'!G672,0))</f>
        <v>12062</v>
      </c>
    </row>
    <row r="6" spans="1:4" x14ac:dyDescent="0.2">
      <c r="B6" t="s">
        <v>62</v>
      </c>
      <c r="C6" s="179">
        <f>IF('DOE25'!H665+'DOE25'!H670=0,0,ROUND('DOE25'!H672,0))</f>
        <v>12360</v>
      </c>
    </row>
    <row r="7" spans="1:4" x14ac:dyDescent="0.2">
      <c r="B7" t="s">
        <v>705</v>
      </c>
      <c r="C7" s="179">
        <f>IF('DOE25'!I665+'DOE25'!I670=0,0,ROUND('DOE25'!I672,0))</f>
        <v>12990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22064628</v>
      </c>
      <c r="D10" s="182">
        <f>ROUND((C10/$C$28)*100,1)</f>
        <v>36.700000000000003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16288575</v>
      </c>
      <c r="D11" s="182">
        <f>ROUND((C11/$C$28)*100,1)</f>
        <v>27.1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1992140</v>
      </c>
      <c r="D12" s="182">
        <f>ROUND((C12/$C$28)*100,1)</f>
        <v>3.3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572405</v>
      </c>
      <c r="D13" s="182">
        <f>ROUND((C13/$C$28)*100,1)</f>
        <v>1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2806189</v>
      </c>
      <c r="D15" s="182">
        <f t="shared" ref="D15:D27" si="0">ROUND((C15/$C$28)*100,1)</f>
        <v>4.7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2411313</v>
      </c>
      <c r="D16" s="182">
        <f t="shared" si="0"/>
        <v>4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2449203</v>
      </c>
      <c r="D17" s="182">
        <f t="shared" si="0"/>
        <v>4.0999999999999996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3069279</v>
      </c>
      <c r="D18" s="182">
        <f t="shared" si="0"/>
        <v>5.0999999999999996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629293</v>
      </c>
      <c r="D19" s="182">
        <f t="shared" si="0"/>
        <v>1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4389917</v>
      </c>
      <c r="D20" s="182">
        <f t="shared" si="0"/>
        <v>7.3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1894756</v>
      </c>
      <c r="D21" s="182">
        <f t="shared" si="0"/>
        <v>3.2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1532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31755</v>
      </c>
      <c r="D24" s="182">
        <f t="shared" si="0"/>
        <v>0.1</v>
      </c>
    </row>
    <row r="25" spans="1:4" x14ac:dyDescent="0.2">
      <c r="A25">
        <v>5120</v>
      </c>
      <c r="B25" t="s">
        <v>720</v>
      </c>
      <c r="C25" s="179">
        <f>ROUND('DOE25'!L261+'DOE25'!L342,0)</f>
        <v>383996</v>
      </c>
      <c r="D25" s="182">
        <f t="shared" si="0"/>
        <v>0.6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1154484.3700000001</v>
      </c>
      <c r="D27" s="182">
        <f t="shared" si="0"/>
        <v>1.9</v>
      </c>
    </row>
    <row r="28" spans="1:4" x14ac:dyDescent="0.2">
      <c r="B28" s="187" t="s">
        <v>723</v>
      </c>
      <c r="C28" s="180">
        <f>SUM(C10:C27)</f>
        <v>60139465.369999997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1071496</v>
      </c>
    </row>
    <row r="30" spans="1:4" x14ac:dyDescent="0.2">
      <c r="B30" s="187" t="s">
        <v>729</v>
      </c>
      <c r="C30" s="180">
        <f>SUM(C28:C29)</f>
        <v>61210961.369999997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1813748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24651302</v>
      </c>
      <c r="D35" s="182">
        <f t="shared" ref="D35:D40" si="1">ROUND((C35/$C$41)*100,1)</f>
        <v>32.6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16424303.149999999</v>
      </c>
      <c r="D36" s="182">
        <f t="shared" si="1"/>
        <v>21.8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27622189</v>
      </c>
      <c r="D37" s="182">
        <f t="shared" si="1"/>
        <v>36.6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1320484</v>
      </c>
      <c r="D38" s="182">
        <f t="shared" si="1"/>
        <v>1.7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5489398</v>
      </c>
      <c r="D39" s="182">
        <f t="shared" si="1"/>
        <v>7.3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75507676.150000006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C5" sqref="C5:M5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3" t="s">
        <v>770</v>
      </c>
      <c r="B1" s="294"/>
      <c r="C1" s="294"/>
      <c r="D1" s="294"/>
      <c r="E1" s="294"/>
      <c r="F1" s="294"/>
      <c r="G1" s="294"/>
      <c r="H1" s="294"/>
      <c r="I1" s="294"/>
      <c r="J1" s="213"/>
      <c r="K1" s="213"/>
      <c r="L1" s="213"/>
      <c r="M1" s="214"/>
    </row>
    <row r="2" spans="1:26" ht="12.75" x14ac:dyDescent="0.2">
      <c r="A2" s="299" t="s">
        <v>767</v>
      </c>
      <c r="B2" s="300"/>
      <c r="C2" s="300"/>
      <c r="D2" s="300"/>
      <c r="E2" s="300"/>
      <c r="F2" s="297" t="str">
        <f>'DOE25'!A2</f>
        <v>Rochester School Department</v>
      </c>
      <c r="G2" s="298"/>
      <c r="H2" s="298"/>
      <c r="I2" s="298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5" t="s">
        <v>771</v>
      </c>
      <c r="D3" s="295"/>
      <c r="E3" s="295"/>
      <c r="F3" s="295"/>
      <c r="G3" s="295"/>
      <c r="H3" s="295"/>
      <c r="I3" s="295"/>
      <c r="J3" s="295"/>
      <c r="K3" s="295"/>
      <c r="L3" s="295"/>
      <c r="M3" s="296"/>
    </row>
    <row r="4" spans="1:26" x14ac:dyDescent="0.2">
      <c r="A4" s="218">
        <v>19</v>
      </c>
      <c r="B4" s="219" t="s">
        <v>921</v>
      </c>
      <c r="C4" s="284" t="s">
        <v>927</v>
      </c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4" t="s">
        <v>922</v>
      </c>
      <c r="D5" s="284"/>
      <c r="E5" s="284"/>
      <c r="F5" s="284"/>
      <c r="G5" s="284"/>
      <c r="H5" s="284"/>
      <c r="I5" s="284"/>
      <c r="J5" s="284"/>
      <c r="K5" s="284"/>
      <c r="L5" s="284"/>
      <c r="M5" s="285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>
        <v>19</v>
      </c>
      <c r="B7" s="219" t="s">
        <v>923</v>
      </c>
      <c r="C7" s="284" t="s">
        <v>926</v>
      </c>
      <c r="D7" s="284"/>
      <c r="E7" s="284"/>
      <c r="F7" s="284"/>
      <c r="G7" s="284"/>
      <c r="H7" s="284"/>
      <c r="I7" s="284"/>
      <c r="J7" s="284"/>
      <c r="K7" s="284"/>
      <c r="L7" s="284"/>
      <c r="M7" s="285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>
        <v>19</v>
      </c>
      <c r="B8" s="219" t="s">
        <v>924</v>
      </c>
      <c r="C8" s="284" t="s">
        <v>925</v>
      </c>
      <c r="D8" s="284"/>
      <c r="E8" s="284"/>
      <c r="F8" s="284"/>
      <c r="G8" s="284"/>
      <c r="H8" s="284"/>
      <c r="I8" s="284"/>
      <c r="J8" s="284"/>
      <c r="K8" s="284"/>
      <c r="L8" s="284"/>
      <c r="M8" s="285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5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5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5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5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5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5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5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5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5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5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5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5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5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5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5"/>
      <c r="N29" s="211"/>
      <c r="O29" s="211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07"/>
      <c r="AB29" s="207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07"/>
      <c r="AO29" s="207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07"/>
      <c r="BB29" s="207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07"/>
      <c r="BO29" s="207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07"/>
      <c r="CB29" s="207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07"/>
      <c r="CO29" s="207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07"/>
      <c r="DB29" s="207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07"/>
      <c r="DO29" s="207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07"/>
      <c r="EB29" s="207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  <c r="EN29" s="207"/>
      <c r="EO29" s="207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07"/>
      <c r="FB29" s="207"/>
      <c r="FC29" s="289"/>
      <c r="FD29" s="289"/>
      <c r="FE29" s="289"/>
      <c r="FF29" s="289"/>
      <c r="FG29" s="289"/>
      <c r="FH29" s="289"/>
      <c r="FI29" s="289"/>
      <c r="FJ29" s="289"/>
      <c r="FK29" s="289"/>
      <c r="FL29" s="289"/>
      <c r="FM29" s="289"/>
      <c r="FN29" s="207"/>
      <c r="FO29" s="207"/>
      <c r="FP29" s="289"/>
      <c r="FQ29" s="289"/>
      <c r="FR29" s="289"/>
      <c r="FS29" s="289"/>
      <c r="FT29" s="289"/>
      <c r="FU29" s="289"/>
      <c r="FV29" s="289"/>
      <c r="FW29" s="289"/>
      <c r="FX29" s="289"/>
      <c r="FY29" s="289"/>
      <c r="FZ29" s="289"/>
      <c r="GA29" s="207"/>
      <c r="GB29" s="207"/>
      <c r="GC29" s="289"/>
      <c r="GD29" s="289"/>
      <c r="GE29" s="289"/>
      <c r="GF29" s="289"/>
      <c r="GG29" s="289"/>
      <c r="GH29" s="289"/>
      <c r="GI29" s="289"/>
      <c r="GJ29" s="289"/>
      <c r="GK29" s="289"/>
      <c r="GL29" s="289"/>
      <c r="GM29" s="289"/>
      <c r="GN29" s="207"/>
      <c r="GO29" s="207"/>
      <c r="GP29" s="289"/>
      <c r="GQ29" s="289"/>
      <c r="GR29" s="289"/>
      <c r="GS29" s="289"/>
      <c r="GT29" s="289"/>
      <c r="GU29" s="289"/>
      <c r="GV29" s="289"/>
      <c r="GW29" s="289"/>
      <c r="GX29" s="289"/>
      <c r="GY29" s="289"/>
      <c r="GZ29" s="289"/>
      <c r="HA29" s="207"/>
      <c r="HB29" s="207"/>
      <c r="HC29" s="289"/>
      <c r="HD29" s="289"/>
      <c r="HE29" s="289"/>
      <c r="HF29" s="289"/>
      <c r="HG29" s="289"/>
      <c r="HH29" s="289"/>
      <c r="HI29" s="289"/>
      <c r="HJ29" s="289"/>
      <c r="HK29" s="289"/>
      <c r="HL29" s="289"/>
      <c r="HM29" s="289"/>
      <c r="HN29" s="207"/>
      <c r="HO29" s="207"/>
      <c r="HP29" s="289"/>
      <c r="HQ29" s="289"/>
      <c r="HR29" s="289"/>
      <c r="HS29" s="289"/>
      <c r="HT29" s="289"/>
      <c r="HU29" s="289"/>
      <c r="HV29" s="289"/>
      <c r="HW29" s="289"/>
      <c r="HX29" s="289"/>
      <c r="HY29" s="289"/>
      <c r="HZ29" s="289"/>
      <c r="IA29" s="207"/>
      <c r="IB29" s="207"/>
      <c r="IC29" s="289"/>
      <c r="ID29" s="289"/>
      <c r="IE29" s="289"/>
      <c r="IF29" s="289"/>
      <c r="IG29" s="289"/>
      <c r="IH29" s="289"/>
      <c r="II29" s="289"/>
      <c r="IJ29" s="289"/>
      <c r="IK29" s="289"/>
      <c r="IL29" s="289"/>
      <c r="IM29" s="289"/>
      <c r="IN29" s="207"/>
      <c r="IO29" s="207"/>
      <c r="IP29" s="289"/>
      <c r="IQ29" s="289"/>
      <c r="IR29" s="289"/>
      <c r="IS29" s="289"/>
      <c r="IT29" s="289"/>
      <c r="IU29" s="289"/>
      <c r="IV29" s="289"/>
    </row>
    <row r="30" spans="1:256" x14ac:dyDescent="0.2">
      <c r="A30" s="218"/>
      <c r="B30" s="219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5"/>
      <c r="N30" s="211"/>
      <c r="O30" s="211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07"/>
      <c r="AB30" s="207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07"/>
      <c r="AO30" s="207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07"/>
      <c r="BB30" s="207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07"/>
      <c r="BO30" s="207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07"/>
      <c r="CB30" s="207"/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07"/>
      <c r="CO30" s="207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07"/>
      <c r="DB30" s="207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07"/>
      <c r="DO30" s="207"/>
      <c r="DP30" s="289"/>
      <c r="DQ30" s="289"/>
      <c r="DR30" s="289"/>
      <c r="DS30" s="289"/>
      <c r="DT30" s="289"/>
      <c r="DU30" s="289"/>
      <c r="DV30" s="289"/>
      <c r="DW30" s="289"/>
      <c r="DX30" s="289"/>
      <c r="DY30" s="289"/>
      <c r="DZ30" s="289"/>
      <c r="EA30" s="207"/>
      <c r="EB30" s="207"/>
      <c r="EC30" s="289"/>
      <c r="ED30" s="289"/>
      <c r="EE30" s="289"/>
      <c r="EF30" s="289"/>
      <c r="EG30" s="289"/>
      <c r="EH30" s="289"/>
      <c r="EI30" s="289"/>
      <c r="EJ30" s="289"/>
      <c r="EK30" s="289"/>
      <c r="EL30" s="289"/>
      <c r="EM30" s="289"/>
      <c r="EN30" s="207"/>
      <c r="EO30" s="207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07"/>
      <c r="FB30" s="207"/>
      <c r="FC30" s="289"/>
      <c r="FD30" s="289"/>
      <c r="FE30" s="289"/>
      <c r="FF30" s="289"/>
      <c r="FG30" s="289"/>
      <c r="FH30" s="289"/>
      <c r="FI30" s="289"/>
      <c r="FJ30" s="289"/>
      <c r="FK30" s="289"/>
      <c r="FL30" s="289"/>
      <c r="FM30" s="289"/>
      <c r="FN30" s="207"/>
      <c r="FO30" s="207"/>
      <c r="FP30" s="289"/>
      <c r="FQ30" s="289"/>
      <c r="FR30" s="289"/>
      <c r="FS30" s="289"/>
      <c r="FT30" s="289"/>
      <c r="FU30" s="289"/>
      <c r="FV30" s="289"/>
      <c r="FW30" s="289"/>
      <c r="FX30" s="289"/>
      <c r="FY30" s="289"/>
      <c r="FZ30" s="289"/>
      <c r="GA30" s="207"/>
      <c r="GB30" s="207"/>
      <c r="GC30" s="289"/>
      <c r="GD30" s="289"/>
      <c r="GE30" s="289"/>
      <c r="GF30" s="289"/>
      <c r="GG30" s="289"/>
      <c r="GH30" s="289"/>
      <c r="GI30" s="289"/>
      <c r="GJ30" s="289"/>
      <c r="GK30" s="289"/>
      <c r="GL30" s="289"/>
      <c r="GM30" s="289"/>
      <c r="GN30" s="207"/>
      <c r="GO30" s="207"/>
      <c r="GP30" s="289"/>
      <c r="GQ30" s="289"/>
      <c r="GR30" s="289"/>
      <c r="GS30" s="289"/>
      <c r="GT30" s="289"/>
      <c r="GU30" s="289"/>
      <c r="GV30" s="289"/>
      <c r="GW30" s="289"/>
      <c r="GX30" s="289"/>
      <c r="GY30" s="289"/>
      <c r="GZ30" s="289"/>
      <c r="HA30" s="207"/>
      <c r="HB30" s="207"/>
      <c r="HC30" s="289"/>
      <c r="HD30" s="289"/>
      <c r="HE30" s="289"/>
      <c r="HF30" s="289"/>
      <c r="HG30" s="289"/>
      <c r="HH30" s="289"/>
      <c r="HI30" s="289"/>
      <c r="HJ30" s="289"/>
      <c r="HK30" s="289"/>
      <c r="HL30" s="289"/>
      <c r="HM30" s="289"/>
      <c r="HN30" s="207"/>
      <c r="HO30" s="207"/>
      <c r="HP30" s="289"/>
      <c r="HQ30" s="289"/>
      <c r="HR30" s="289"/>
      <c r="HS30" s="289"/>
      <c r="HT30" s="289"/>
      <c r="HU30" s="289"/>
      <c r="HV30" s="289"/>
      <c r="HW30" s="289"/>
      <c r="HX30" s="289"/>
      <c r="HY30" s="289"/>
      <c r="HZ30" s="289"/>
      <c r="IA30" s="207"/>
      <c r="IB30" s="207"/>
      <c r="IC30" s="289"/>
      <c r="ID30" s="289"/>
      <c r="IE30" s="289"/>
      <c r="IF30" s="289"/>
      <c r="IG30" s="289"/>
      <c r="IH30" s="289"/>
      <c r="II30" s="289"/>
      <c r="IJ30" s="289"/>
      <c r="IK30" s="289"/>
      <c r="IL30" s="289"/>
      <c r="IM30" s="289"/>
      <c r="IN30" s="207"/>
      <c r="IO30" s="207"/>
      <c r="IP30" s="289"/>
      <c r="IQ30" s="289"/>
      <c r="IR30" s="289"/>
      <c r="IS30" s="289"/>
      <c r="IT30" s="289"/>
      <c r="IU30" s="289"/>
      <c r="IV30" s="289"/>
    </row>
    <row r="31" spans="1:256" x14ac:dyDescent="0.2">
      <c r="A31" s="218"/>
      <c r="B31" s="219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5"/>
      <c r="N31" s="211"/>
      <c r="O31" s="211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07"/>
      <c r="AB31" s="207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07"/>
      <c r="AO31" s="207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07"/>
      <c r="BB31" s="207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07"/>
      <c r="BO31" s="207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07"/>
      <c r="CB31" s="207"/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07"/>
      <c r="CO31" s="207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07"/>
      <c r="DB31" s="207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07"/>
      <c r="DO31" s="207"/>
      <c r="DP31" s="289"/>
      <c r="DQ31" s="289"/>
      <c r="DR31" s="289"/>
      <c r="DS31" s="289"/>
      <c r="DT31" s="289"/>
      <c r="DU31" s="289"/>
      <c r="DV31" s="289"/>
      <c r="DW31" s="289"/>
      <c r="DX31" s="289"/>
      <c r="DY31" s="289"/>
      <c r="DZ31" s="289"/>
      <c r="EA31" s="207"/>
      <c r="EB31" s="207"/>
      <c r="EC31" s="289"/>
      <c r="ED31" s="289"/>
      <c r="EE31" s="289"/>
      <c r="EF31" s="289"/>
      <c r="EG31" s="289"/>
      <c r="EH31" s="289"/>
      <c r="EI31" s="289"/>
      <c r="EJ31" s="289"/>
      <c r="EK31" s="289"/>
      <c r="EL31" s="289"/>
      <c r="EM31" s="289"/>
      <c r="EN31" s="207"/>
      <c r="EO31" s="207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07"/>
      <c r="FB31" s="207"/>
      <c r="FC31" s="289"/>
      <c r="FD31" s="289"/>
      <c r="FE31" s="289"/>
      <c r="FF31" s="289"/>
      <c r="FG31" s="289"/>
      <c r="FH31" s="289"/>
      <c r="FI31" s="289"/>
      <c r="FJ31" s="289"/>
      <c r="FK31" s="289"/>
      <c r="FL31" s="289"/>
      <c r="FM31" s="289"/>
      <c r="FN31" s="207"/>
      <c r="FO31" s="207"/>
      <c r="FP31" s="289"/>
      <c r="FQ31" s="289"/>
      <c r="FR31" s="289"/>
      <c r="FS31" s="289"/>
      <c r="FT31" s="289"/>
      <c r="FU31" s="289"/>
      <c r="FV31" s="289"/>
      <c r="FW31" s="289"/>
      <c r="FX31" s="289"/>
      <c r="FY31" s="289"/>
      <c r="FZ31" s="289"/>
      <c r="GA31" s="207"/>
      <c r="GB31" s="207"/>
      <c r="GC31" s="289"/>
      <c r="GD31" s="289"/>
      <c r="GE31" s="289"/>
      <c r="GF31" s="289"/>
      <c r="GG31" s="289"/>
      <c r="GH31" s="289"/>
      <c r="GI31" s="289"/>
      <c r="GJ31" s="289"/>
      <c r="GK31" s="289"/>
      <c r="GL31" s="289"/>
      <c r="GM31" s="289"/>
      <c r="GN31" s="207"/>
      <c r="GO31" s="207"/>
      <c r="GP31" s="289"/>
      <c r="GQ31" s="289"/>
      <c r="GR31" s="289"/>
      <c r="GS31" s="289"/>
      <c r="GT31" s="289"/>
      <c r="GU31" s="289"/>
      <c r="GV31" s="289"/>
      <c r="GW31" s="289"/>
      <c r="GX31" s="289"/>
      <c r="GY31" s="289"/>
      <c r="GZ31" s="289"/>
      <c r="HA31" s="207"/>
      <c r="HB31" s="207"/>
      <c r="HC31" s="289"/>
      <c r="HD31" s="289"/>
      <c r="HE31" s="289"/>
      <c r="HF31" s="289"/>
      <c r="HG31" s="289"/>
      <c r="HH31" s="289"/>
      <c r="HI31" s="289"/>
      <c r="HJ31" s="289"/>
      <c r="HK31" s="289"/>
      <c r="HL31" s="289"/>
      <c r="HM31" s="289"/>
      <c r="HN31" s="207"/>
      <c r="HO31" s="207"/>
      <c r="HP31" s="289"/>
      <c r="HQ31" s="289"/>
      <c r="HR31" s="289"/>
      <c r="HS31" s="289"/>
      <c r="HT31" s="289"/>
      <c r="HU31" s="289"/>
      <c r="HV31" s="289"/>
      <c r="HW31" s="289"/>
      <c r="HX31" s="289"/>
      <c r="HY31" s="289"/>
      <c r="HZ31" s="289"/>
      <c r="IA31" s="207"/>
      <c r="IB31" s="207"/>
      <c r="IC31" s="289"/>
      <c r="ID31" s="289"/>
      <c r="IE31" s="289"/>
      <c r="IF31" s="289"/>
      <c r="IG31" s="289"/>
      <c r="IH31" s="289"/>
      <c r="II31" s="289"/>
      <c r="IJ31" s="289"/>
      <c r="IK31" s="289"/>
      <c r="IL31" s="289"/>
      <c r="IM31" s="289"/>
      <c r="IN31" s="207"/>
      <c r="IO31" s="207"/>
      <c r="IP31" s="289"/>
      <c r="IQ31" s="289"/>
      <c r="IR31" s="289"/>
      <c r="IS31" s="289"/>
      <c r="IT31" s="289"/>
      <c r="IU31" s="289"/>
      <c r="IV31" s="289"/>
    </row>
    <row r="32" spans="1:256" x14ac:dyDescent="0.2">
      <c r="A32" s="218"/>
      <c r="B32" s="219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5"/>
      <c r="N32" s="223"/>
      <c r="O32" s="223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2"/>
      <c r="AA32" s="218"/>
      <c r="AB32" s="219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5"/>
      <c r="AN32" s="218"/>
      <c r="AO32" s="219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5"/>
      <c r="BA32" s="218"/>
      <c r="BB32" s="219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5"/>
      <c r="BN32" s="218"/>
      <c r="BO32" s="219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5"/>
      <c r="CA32" s="218"/>
      <c r="CB32" s="219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5"/>
      <c r="CN32" s="218"/>
      <c r="CO32" s="219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5"/>
      <c r="DA32" s="218"/>
      <c r="DB32" s="219"/>
      <c r="DC32" s="284"/>
      <c r="DD32" s="284"/>
      <c r="DE32" s="284"/>
      <c r="DF32" s="284"/>
      <c r="DG32" s="284"/>
      <c r="DH32" s="284"/>
      <c r="DI32" s="284"/>
      <c r="DJ32" s="284"/>
      <c r="DK32" s="284"/>
      <c r="DL32" s="284"/>
      <c r="DM32" s="285"/>
      <c r="DN32" s="218"/>
      <c r="DO32" s="219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5"/>
      <c r="EA32" s="218"/>
      <c r="EB32" s="219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5"/>
      <c r="EN32" s="218"/>
      <c r="EO32" s="219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5"/>
      <c r="FA32" s="218"/>
      <c r="FB32" s="219"/>
      <c r="FC32" s="284"/>
      <c r="FD32" s="284"/>
      <c r="FE32" s="284"/>
      <c r="FF32" s="284"/>
      <c r="FG32" s="284"/>
      <c r="FH32" s="284"/>
      <c r="FI32" s="284"/>
      <c r="FJ32" s="284"/>
      <c r="FK32" s="284"/>
      <c r="FL32" s="284"/>
      <c r="FM32" s="285"/>
      <c r="FN32" s="218"/>
      <c r="FO32" s="219"/>
      <c r="FP32" s="284"/>
      <c r="FQ32" s="284"/>
      <c r="FR32" s="284"/>
      <c r="FS32" s="284"/>
      <c r="FT32" s="284"/>
      <c r="FU32" s="284"/>
      <c r="FV32" s="284"/>
      <c r="FW32" s="284"/>
      <c r="FX32" s="284"/>
      <c r="FY32" s="284"/>
      <c r="FZ32" s="285"/>
      <c r="GA32" s="218"/>
      <c r="GB32" s="219"/>
      <c r="GC32" s="284"/>
      <c r="GD32" s="284"/>
      <c r="GE32" s="284"/>
      <c r="GF32" s="284"/>
      <c r="GG32" s="284"/>
      <c r="GH32" s="284"/>
      <c r="GI32" s="284"/>
      <c r="GJ32" s="284"/>
      <c r="GK32" s="284"/>
      <c r="GL32" s="284"/>
      <c r="GM32" s="285"/>
      <c r="GN32" s="218"/>
      <c r="GO32" s="219"/>
      <c r="GP32" s="284"/>
      <c r="GQ32" s="284"/>
      <c r="GR32" s="284"/>
      <c r="GS32" s="284"/>
      <c r="GT32" s="284"/>
      <c r="GU32" s="284"/>
      <c r="GV32" s="284"/>
      <c r="GW32" s="284"/>
      <c r="GX32" s="284"/>
      <c r="GY32" s="284"/>
      <c r="GZ32" s="285"/>
      <c r="HA32" s="218"/>
      <c r="HB32" s="219"/>
      <c r="HC32" s="284"/>
      <c r="HD32" s="284"/>
      <c r="HE32" s="284"/>
      <c r="HF32" s="284"/>
      <c r="HG32" s="284"/>
      <c r="HH32" s="284"/>
      <c r="HI32" s="284"/>
      <c r="HJ32" s="284"/>
      <c r="HK32" s="284"/>
      <c r="HL32" s="284"/>
      <c r="HM32" s="285"/>
      <c r="HN32" s="218"/>
      <c r="HO32" s="219"/>
      <c r="HP32" s="284"/>
      <c r="HQ32" s="284"/>
      <c r="HR32" s="284"/>
      <c r="HS32" s="284"/>
      <c r="HT32" s="284"/>
      <c r="HU32" s="284"/>
      <c r="HV32" s="284"/>
      <c r="HW32" s="284"/>
      <c r="HX32" s="284"/>
      <c r="HY32" s="284"/>
      <c r="HZ32" s="285"/>
      <c r="IA32" s="218"/>
      <c r="IB32" s="219"/>
      <c r="IC32" s="284"/>
      <c r="ID32" s="284"/>
      <c r="IE32" s="284"/>
      <c r="IF32" s="284"/>
      <c r="IG32" s="284"/>
      <c r="IH32" s="284"/>
      <c r="II32" s="284"/>
      <c r="IJ32" s="284"/>
      <c r="IK32" s="284"/>
      <c r="IL32" s="284"/>
      <c r="IM32" s="285"/>
      <c r="IN32" s="218"/>
      <c r="IO32" s="219"/>
      <c r="IP32" s="284"/>
      <c r="IQ32" s="284"/>
      <c r="IR32" s="284"/>
      <c r="IS32" s="284"/>
      <c r="IT32" s="284"/>
      <c r="IU32" s="284"/>
      <c r="IV32" s="284"/>
    </row>
    <row r="33" spans="1:256" x14ac:dyDescent="0.2">
      <c r="A33" s="218"/>
      <c r="B33" s="219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5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5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5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5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5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211"/>
      <c r="O38" s="211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07"/>
      <c r="AB38" s="207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07"/>
      <c r="AO38" s="207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07"/>
      <c r="BB38" s="207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07"/>
      <c r="BO38" s="207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07"/>
      <c r="CB38" s="207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07"/>
      <c r="CO38" s="207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07"/>
      <c r="DB38" s="207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07"/>
      <c r="DO38" s="207"/>
      <c r="DP38" s="289"/>
      <c r="DQ38" s="289"/>
      <c r="DR38" s="289"/>
      <c r="DS38" s="289"/>
      <c r="DT38" s="289"/>
      <c r="DU38" s="289"/>
      <c r="DV38" s="289"/>
      <c r="DW38" s="289"/>
      <c r="DX38" s="289"/>
      <c r="DY38" s="289"/>
      <c r="DZ38" s="289"/>
      <c r="EA38" s="207"/>
      <c r="EB38" s="207"/>
      <c r="EC38" s="289"/>
      <c r="ED38" s="289"/>
      <c r="EE38" s="289"/>
      <c r="EF38" s="289"/>
      <c r="EG38" s="289"/>
      <c r="EH38" s="289"/>
      <c r="EI38" s="289"/>
      <c r="EJ38" s="289"/>
      <c r="EK38" s="289"/>
      <c r="EL38" s="289"/>
      <c r="EM38" s="289"/>
      <c r="EN38" s="207"/>
      <c r="EO38" s="207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07"/>
      <c r="FB38" s="207"/>
      <c r="FC38" s="289"/>
      <c r="FD38" s="289"/>
      <c r="FE38" s="289"/>
      <c r="FF38" s="289"/>
      <c r="FG38" s="289"/>
      <c r="FH38" s="289"/>
      <c r="FI38" s="289"/>
      <c r="FJ38" s="289"/>
      <c r="FK38" s="289"/>
      <c r="FL38" s="289"/>
      <c r="FM38" s="289"/>
      <c r="FN38" s="207"/>
      <c r="FO38" s="207"/>
      <c r="FP38" s="289"/>
      <c r="FQ38" s="289"/>
      <c r="FR38" s="289"/>
      <c r="FS38" s="289"/>
      <c r="FT38" s="289"/>
      <c r="FU38" s="289"/>
      <c r="FV38" s="289"/>
      <c r="FW38" s="289"/>
      <c r="FX38" s="289"/>
      <c r="FY38" s="289"/>
      <c r="FZ38" s="289"/>
      <c r="GA38" s="207"/>
      <c r="GB38" s="207"/>
      <c r="GC38" s="289"/>
      <c r="GD38" s="289"/>
      <c r="GE38" s="289"/>
      <c r="GF38" s="289"/>
      <c r="GG38" s="289"/>
      <c r="GH38" s="289"/>
      <c r="GI38" s="289"/>
      <c r="GJ38" s="289"/>
      <c r="GK38" s="289"/>
      <c r="GL38" s="289"/>
      <c r="GM38" s="289"/>
      <c r="GN38" s="207"/>
      <c r="GO38" s="207"/>
      <c r="GP38" s="289"/>
      <c r="GQ38" s="289"/>
      <c r="GR38" s="289"/>
      <c r="GS38" s="289"/>
      <c r="GT38" s="289"/>
      <c r="GU38" s="289"/>
      <c r="GV38" s="289"/>
      <c r="GW38" s="289"/>
      <c r="GX38" s="289"/>
      <c r="GY38" s="289"/>
      <c r="GZ38" s="289"/>
      <c r="HA38" s="207"/>
      <c r="HB38" s="207"/>
      <c r="HC38" s="289"/>
      <c r="HD38" s="289"/>
      <c r="HE38" s="289"/>
      <c r="HF38" s="289"/>
      <c r="HG38" s="289"/>
      <c r="HH38" s="289"/>
      <c r="HI38" s="289"/>
      <c r="HJ38" s="289"/>
      <c r="HK38" s="289"/>
      <c r="HL38" s="289"/>
      <c r="HM38" s="289"/>
      <c r="HN38" s="207"/>
      <c r="HO38" s="207"/>
      <c r="HP38" s="289"/>
      <c r="HQ38" s="289"/>
      <c r="HR38" s="289"/>
      <c r="HS38" s="289"/>
      <c r="HT38" s="289"/>
      <c r="HU38" s="289"/>
      <c r="HV38" s="289"/>
      <c r="HW38" s="289"/>
      <c r="HX38" s="289"/>
      <c r="HY38" s="289"/>
      <c r="HZ38" s="289"/>
      <c r="IA38" s="207"/>
      <c r="IB38" s="207"/>
      <c r="IC38" s="289"/>
      <c r="ID38" s="289"/>
      <c r="IE38" s="289"/>
      <c r="IF38" s="289"/>
      <c r="IG38" s="289"/>
      <c r="IH38" s="289"/>
      <c r="II38" s="289"/>
      <c r="IJ38" s="289"/>
      <c r="IK38" s="289"/>
      <c r="IL38" s="289"/>
      <c r="IM38" s="289"/>
      <c r="IN38" s="207"/>
      <c r="IO38" s="207"/>
      <c r="IP38" s="289"/>
      <c r="IQ38" s="289"/>
      <c r="IR38" s="289"/>
      <c r="IS38" s="289"/>
      <c r="IT38" s="289"/>
      <c r="IU38" s="289"/>
      <c r="IV38" s="289"/>
    </row>
    <row r="39" spans="1:256" x14ac:dyDescent="0.2">
      <c r="A39" s="218"/>
      <c r="B39" s="219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5"/>
      <c r="N39" s="211"/>
      <c r="O39" s="211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07"/>
      <c r="AB39" s="207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07"/>
      <c r="AO39" s="207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07"/>
      <c r="BB39" s="207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07"/>
      <c r="BO39" s="207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07"/>
      <c r="CB39" s="207"/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07"/>
      <c r="CO39" s="207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07"/>
      <c r="DB39" s="207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07"/>
      <c r="DO39" s="207"/>
      <c r="DP39" s="289"/>
      <c r="DQ39" s="289"/>
      <c r="DR39" s="289"/>
      <c r="DS39" s="289"/>
      <c r="DT39" s="289"/>
      <c r="DU39" s="289"/>
      <c r="DV39" s="289"/>
      <c r="DW39" s="289"/>
      <c r="DX39" s="289"/>
      <c r="DY39" s="289"/>
      <c r="DZ39" s="289"/>
      <c r="EA39" s="207"/>
      <c r="EB39" s="207"/>
      <c r="EC39" s="289"/>
      <c r="ED39" s="289"/>
      <c r="EE39" s="289"/>
      <c r="EF39" s="289"/>
      <c r="EG39" s="289"/>
      <c r="EH39" s="289"/>
      <c r="EI39" s="289"/>
      <c r="EJ39" s="289"/>
      <c r="EK39" s="289"/>
      <c r="EL39" s="289"/>
      <c r="EM39" s="289"/>
      <c r="EN39" s="207"/>
      <c r="EO39" s="207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07"/>
      <c r="FB39" s="207"/>
      <c r="FC39" s="289"/>
      <c r="FD39" s="289"/>
      <c r="FE39" s="289"/>
      <c r="FF39" s="289"/>
      <c r="FG39" s="289"/>
      <c r="FH39" s="289"/>
      <c r="FI39" s="289"/>
      <c r="FJ39" s="289"/>
      <c r="FK39" s="289"/>
      <c r="FL39" s="289"/>
      <c r="FM39" s="289"/>
      <c r="FN39" s="207"/>
      <c r="FO39" s="207"/>
      <c r="FP39" s="289"/>
      <c r="FQ39" s="289"/>
      <c r="FR39" s="289"/>
      <c r="FS39" s="289"/>
      <c r="FT39" s="289"/>
      <c r="FU39" s="289"/>
      <c r="FV39" s="289"/>
      <c r="FW39" s="289"/>
      <c r="FX39" s="289"/>
      <c r="FY39" s="289"/>
      <c r="FZ39" s="289"/>
      <c r="GA39" s="207"/>
      <c r="GB39" s="207"/>
      <c r="GC39" s="289"/>
      <c r="GD39" s="289"/>
      <c r="GE39" s="289"/>
      <c r="GF39" s="289"/>
      <c r="GG39" s="289"/>
      <c r="GH39" s="289"/>
      <c r="GI39" s="289"/>
      <c r="GJ39" s="289"/>
      <c r="GK39" s="289"/>
      <c r="GL39" s="289"/>
      <c r="GM39" s="289"/>
      <c r="GN39" s="207"/>
      <c r="GO39" s="207"/>
      <c r="GP39" s="289"/>
      <c r="GQ39" s="289"/>
      <c r="GR39" s="289"/>
      <c r="GS39" s="289"/>
      <c r="GT39" s="289"/>
      <c r="GU39" s="289"/>
      <c r="GV39" s="289"/>
      <c r="GW39" s="289"/>
      <c r="GX39" s="289"/>
      <c r="GY39" s="289"/>
      <c r="GZ39" s="289"/>
      <c r="HA39" s="207"/>
      <c r="HB39" s="207"/>
      <c r="HC39" s="289"/>
      <c r="HD39" s="289"/>
      <c r="HE39" s="289"/>
      <c r="HF39" s="289"/>
      <c r="HG39" s="289"/>
      <c r="HH39" s="289"/>
      <c r="HI39" s="289"/>
      <c r="HJ39" s="289"/>
      <c r="HK39" s="289"/>
      <c r="HL39" s="289"/>
      <c r="HM39" s="289"/>
      <c r="HN39" s="207"/>
      <c r="HO39" s="207"/>
      <c r="HP39" s="289"/>
      <c r="HQ39" s="289"/>
      <c r="HR39" s="289"/>
      <c r="HS39" s="289"/>
      <c r="HT39" s="289"/>
      <c r="HU39" s="289"/>
      <c r="HV39" s="289"/>
      <c r="HW39" s="289"/>
      <c r="HX39" s="289"/>
      <c r="HY39" s="289"/>
      <c r="HZ39" s="289"/>
      <c r="IA39" s="207"/>
      <c r="IB39" s="207"/>
      <c r="IC39" s="289"/>
      <c r="ID39" s="289"/>
      <c r="IE39" s="289"/>
      <c r="IF39" s="289"/>
      <c r="IG39" s="289"/>
      <c r="IH39" s="289"/>
      <c r="II39" s="289"/>
      <c r="IJ39" s="289"/>
      <c r="IK39" s="289"/>
      <c r="IL39" s="289"/>
      <c r="IM39" s="289"/>
      <c r="IN39" s="207"/>
      <c r="IO39" s="207"/>
      <c r="IP39" s="289"/>
      <c r="IQ39" s="289"/>
      <c r="IR39" s="289"/>
      <c r="IS39" s="289"/>
      <c r="IT39" s="289"/>
      <c r="IU39" s="289"/>
      <c r="IV39" s="289"/>
    </row>
    <row r="40" spans="1:256" x14ac:dyDescent="0.2">
      <c r="A40" s="218"/>
      <c r="B40" s="219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N40" s="211"/>
      <c r="O40" s="211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07"/>
      <c r="AB40" s="207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07"/>
      <c r="AO40" s="207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07"/>
      <c r="BB40" s="207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07"/>
      <c r="BO40" s="207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07"/>
      <c r="CB40" s="207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07"/>
      <c r="CO40" s="207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07"/>
      <c r="DB40" s="207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07"/>
      <c r="DO40" s="207"/>
      <c r="DP40" s="289"/>
      <c r="DQ40" s="289"/>
      <c r="DR40" s="289"/>
      <c r="DS40" s="289"/>
      <c r="DT40" s="289"/>
      <c r="DU40" s="289"/>
      <c r="DV40" s="289"/>
      <c r="DW40" s="289"/>
      <c r="DX40" s="289"/>
      <c r="DY40" s="289"/>
      <c r="DZ40" s="289"/>
      <c r="EA40" s="207"/>
      <c r="EB40" s="207"/>
      <c r="EC40" s="289"/>
      <c r="ED40" s="289"/>
      <c r="EE40" s="289"/>
      <c r="EF40" s="289"/>
      <c r="EG40" s="289"/>
      <c r="EH40" s="289"/>
      <c r="EI40" s="289"/>
      <c r="EJ40" s="289"/>
      <c r="EK40" s="289"/>
      <c r="EL40" s="289"/>
      <c r="EM40" s="289"/>
      <c r="EN40" s="207"/>
      <c r="EO40" s="207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07"/>
      <c r="FB40" s="207"/>
      <c r="FC40" s="289"/>
      <c r="FD40" s="289"/>
      <c r="FE40" s="289"/>
      <c r="FF40" s="289"/>
      <c r="FG40" s="289"/>
      <c r="FH40" s="289"/>
      <c r="FI40" s="289"/>
      <c r="FJ40" s="289"/>
      <c r="FK40" s="289"/>
      <c r="FL40" s="289"/>
      <c r="FM40" s="289"/>
      <c r="FN40" s="207"/>
      <c r="FO40" s="207"/>
      <c r="FP40" s="289"/>
      <c r="FQ40" s="289"/>
      <c r="FR40" s="289"/>
      <c r="FS40" s="289"/>
      <c r="FT40" s="289"/>
      <c r="FU40" s="289"/>
      <c r="FV40" s="289"/>
      <c r="FW40" s="289"/>
      <c r="FX40" s="289"/>
      <c r="FY40" s="289"/>
      <c r="FZ40" s="289"/>
      <c r="GA40" s="207"/>
      <c r="GB40" s="207"/>
      <c r="GC40" s="289"/>
      <c r="GD40" s="289"/>
      <c r="GE40" s="289"/>
      <c r="GF40" s="289"/>
      <c r="GG40" s="289"/>
      <c r="GH40" s="289"/>
      <c r="GI40" s="289"/>
      <c r="GJ40" s="289"/>
      <c r="GK40" s="289"/>
      <c r="GL40" s="289"/>
      <c r="GM40" s="289"/>
      <c r="GN40" s="207"/>
      <c r="GO40" s="207"/>
      <c r="GP40" s="289"/>
      <c r="GQ40" s="289"/>
      <c r="GR40" s="289"/>
      <c r="GS40" s="289"/>
      <c r="GT40" s="289"/>
      <c r="GU40" s="289"/>
      <c r="GV40" s="289"/>
      <c r="GW40" s="289"/>
      <c r="GX40" s="289"/>
      <c r="GY40" s="289"/>
      <c r="GZ40" s="289"/>
      <c r="HA40" s="207"/>
      <c r="HB40" s="207"/>
      <c r="HC40" s="289"/>
      <c r="HD40" s="289"/>
      <c r="HE40" s="289"/>
      <c r="HF40" s="289"/>
      <c r="HG40" s="289"/>
      <c r="HH40" s="289"/>
      <c r="HI40" s="289"/>
      <c r="HJ40" s="289"/>
      <c r="HK40" s="289"/>
      <c r="HL40" s="289"/>
      <c r="HM40" s="289"/>
      <c r="HN40" s="207"/>
      <c r="HO40" s="207"/>
      <c r="HP40" s="289"/>
      <c r="HQ40" s="289"/>
      <c r="HR40" s="289"/>
      <c r="HS40" s="289"/>
      <c r="HT40" s="289"/>
      <c r="HU40" s="289"/>
      <c r="HV40" s="289"/>
      <c r="HW40" s="289"/>
      <c r="HX40" s="289"/>
      <c r="HY40" s="289"/>
      <c r="HZ40" s="289"/>
      <c r="IA40" s="207"/>
      <c r="IB40" s="207"/>
      <c r="IC40" s="289"/>
      <c r="ID40" s="289"/>
      <c r="IE40" s="289"/>
      <c r="IF40" s="289"/>
      <c r="IG40" s="289"/>
      <c r="IH40" s="289"/>
      <c r="II40" s="289"/>
      <c r="IJ40" s="289"/>
      <c r="IK40" s="289"/>
      <c r="IL40" s="289"/>
      <c r="IM40" s="289"/>
      <c r="IN40" s="207"/>
      <c r="IO40" s="207"/>
      <c r="IP40" s="289"/>
      <c r="IQ40" s="289"/>
      <c r="IR40" s="289"/>
      <c r="IS40" s="289"/>
      <c r="IT40" s="289"/>
      <c r="IU40" s="289"/>
      <c r="IV40" s="289"/>
    </row>
    <row r="41" spans="1:256" x14ac:dyDescent="0.2">
      <c r="A41" s="218"/>
      <c r="B41" s="219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5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5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5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5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5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5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5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5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5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5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5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5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5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</row>
    <row r="60" spans="1:256" x14ac:dyDescent="0.2">
      <c r="A60" s="218"/>
      <c r="B60" s="219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5"/>
    </row>
    <row r="61" spans="1:256" x14ac:dyDescent="0.2">
      <c r="A61" s="218"/>
      <c r="B61" s="219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5"/>
    </row>
    <row r="62" spans="1:256" x14ac:dyDescent="0.2">
      <c r="A62" s="218"/>
      <c r="B62" s="219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</row>
    <row r="63" spans="1:256" x14ac:dyDescent="0.2">
      <c r="A63" s="218"/>
      <c r="B63" s="219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</row>
    <row r="64" spans="1:256" x14ac:dyDescent="0.2">
      <c r="A64" s="218"/>
      <c r="B64" s="219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</row>
    <row r="65" spans="1:13" x14ac:dyDescent="0.2">
      <c r="A65" s="218"/>
      <c r="B65" s="219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</row>
    <row r="66" spans="1:13" x14ac:dyDescent="0.2">
      <c r="A66" s="218"/>
      <c r="B66" s="219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</row>
    <row r="67" spans="1:13" x14ac:dyDescent="0.2">
      <c r="A67" s="218"/>
      <c r="B67" s="219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</row>
    <row r="68" spans="1:13" x14ac:dyDescent="0.2">
      <c r="A68" s="218"/>
      <c r="B68" s="219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5"/>
    </row>
    <row r="69" spans="1:13" x14ac:dyDescent="0.2">
      <c r="A69" s="218"/>
      <c r="B69" s="219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5"/>
    </row>
    <row r="70" spans="1:13" ht="12" thickBot="1" x14ac:dyDescent="0.25">
      <c r="A70" s="220"/>
      <c r="B70" s="221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8" t="s">
        <v>848</v>
      </c>
      <c r="B72" s="288"/>
      <c r="C72" s="288"/>
      <c r="D72" s="288"/>
      <c r="E72" s="28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1"/>
      <c r="B74" s="211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1"/>
      <c r="B75" s="211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1"/>
      <c r="B76" s="211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1"/>
      <c r="B77" s="211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1"/>
      <c r="B78" s="211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1"/>
      <c r="B79" s="211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1"/>
      <c r="B80" s="211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1"/>
      <c r="B81" s="211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1"/>
      <c r="B82" s="211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1"/>
      <c r="B83" s="211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1"/>
      <c r="B84" s="211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1"/>
      <c r="B85" s="211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1"/>
      <c r="B86" s="211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1"/>
      <c r="B87" s="211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1"/>
      <c r="B88" s="211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1"/>
      <c r="B89" s="211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1"/>
      <c r="B90" s="211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A7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2014-08-22T16:37:12Z</cp:lastPrinted>
  <dcterms:created xsi:type="dcterms:W3CDTF">1997-12-04T19:04:30Z</dcterms:created>
  <dcterms:modified xsi:type="dcterms:W3CDTF">2014-12-05T17:30:49Z</dcterms:modified>
</cp:coreProperties>
</file>