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 activeTab="3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392" i="1" l="1"/>
  <c r="J96" i="1"/>
  <c r="F459" i="1"/>
  <c r="J526" i="1" l="1"/>
  <c r="I526" i="1"/>
  <c r="D9" i="13"/>
  <c r="G97" i="1"/>
  <c r="G49" i="1"/>
  <c r="G12" i="1"/>
  <c r="G22" i="1"/>
  <c r="I277" i="1"/>
  <c r="C10" i="12"/>
  <c r="G276" i="1"/>
  <c r="F276" i="1"/>
  <c r="K285" i="1"/>
  <c r="F285" i="1"/>
  <c r="H281" i="1"/>
  <c r="G281" i="1"/>
  <c r="F281" i="1"/>
  <c r="G279" i="1"/>
  <c r="C37" i="12"/>
  <c r="B37" i="12"/>
  <c r="C19" i="12"/>
  <c r="B19" i="12"/>
  <c r="J277" i="1"/>
  <c r="G277" i="1"/>
  <c r="F277" i="1"/>
  <c r="B10" i="12"/>
  <c r="H155" i="1"/>
  <c r="H154" i="1"/>
  <c r="H12" i="1"/>
  <c r="C20" i="12"/>
  <c r="B20" i="12"/>
  <c r="C12" i="12"/>
  <c r="C11" i="12"/>
  <c r="B11" i="12"/>
  <c r="B12" i="12"/>
  <c r="F582" i="1"/>
  <c r="I468" i="1"/>
  <c r="F468" i="1"/>
  <c r="F101" i="1"/>
  <c r="F50" i="1"/>
  <c r="F22" i="1"/>
  <c r="F1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20" i="2" s="1"/>
  <c r="L240" i="1"/>
  <c r="D39" i="13"/>
  <c r="F13" i="13"/>
  <c r="G13" i="13"/>
  <c r="E13" i="13" s="1"/>
  <c r="C13" i="13" s="1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29" i="1" s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132" i="2" s="1"/>
  <c r="L341" i="1"/>
  <c r="L342" i="1"/>
  <c r="E132" i="2" s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C40" i="10"/>
  <c r="F60" i="1"/>
  <c r="C56" i="2" s="1"/>
  <c r="G60" i="1"/>
  <c r="H60" i="1"/>
  <c r="I60" i="1"/>
  <c r="F56" i="2" s="1"/>
  <c r="F79" i="1"/>
  <c r="F94" i="1"/>
  <c r="C58" i="2" s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40" i="1" s="1"/>
  <c r="J136" i="1"/>
  <c r="F147" i="1"/>
  <c r="C85" i="2" s="1"/>
  <c r="F162" i="1"/>
  <c r="G147" i="1"/>
  <c r="G162" i="1"/>
  <c r="H147" i="1"/>
  <c r="E85" i="2" s="1"/>
  <c r="H162" i="1"/>
  <c r="I147" i="1"/>
  <c r="I162" i="1"/>
  <c r="I169" i="1" s="1"/>
  <c r="L250" i="1"/>
  <c r="C113" i="2" s="1"/>
  <c r="L332" i="1"/>
  <c r="L254" i="1"/>
  <c r="L268" i="1"/>
  <c r="C142" i="2" s="1"/>
  <c r="L269" i="1"/>
  <c r="L349" i="1"/>
  <c r="L350" i="1"/>
  <c r="E143" i="2" s="1"/>
  <c r="I665" i="1"/>
  <c r="I670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7" i="2"/>
  <c r="E58" i="2"/>
  <c r="C59" i="2"/>
  <c r="D59" i="2"/>
  <c r="D62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2" i="2"/>
  <c r="E113" i="2"/>
  <c r="D115" i="2"/>
  <c r="F115" i="2"/>
  <c r="G115" i="2"/>
  <c r="E119" i="2"/>
  <c r="C121" i="2"/>
  <c r="C123" i="2"/>
  <c r="F128" i="2"/>
  <c r="G128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H604" i="1" s="1"/>
  <c r="K604" i="1" s="1"/>
  <c r="K605" i="1" s="1"/>
  <c r="G648" i="1" s="1"/>
  <c r="K211" i="1"/>
  <c r="K257" i="1" s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F408" i="1" s="1"/>
  <c r="H643" i="1" s="1"/>
  <c r="J643" i="1" s="1"/>
  <c r="G407" i="1"/>
  <c r="H407" i="1"/>
  <c r="I407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G460" i="1"/>
  <c r="G461" i="1" s="1"/>
  <c r="H640" i="1" s="1"/>
  <c r="J640" i="1" s="1"/>
  <c r="H460" i="1"/>
  <c r="H461" i="1"/>
  <c r="H641" i="1" s="1"/>
  <c r="F470" i="1"/>
  <c r="I470" i="1"/>
  <c r="I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30" i="1"/>
  <c r="H634" i="1"/>
  <c r="H636" i="1"/>
  <c r="G640" i="1"/>
  <c r="G641" i="1"/>
  <c r="G643" i="1"/>
  <c r="G644" i="1"/>
  <c r="G652" i="1"/>
  <c r="H652" i="1"/>
  <c r="G653" i="1"/>
  <c r="H653" i="1"/>
  <c r="G654" i="1"/>
  <c r="H654" i="1"/>
  <c r="H655" i="1"/>
  <c r="C26" i="10"/>
  <c r="L328" i="1"/>
  <c r="D17" i="13"/>
  <c r="C17" i="13" s="1"/>
  <c r="D50" i="2"/>
  <c r="E103" i="2"/>
  <c r="G62" i="2"/>
  <c r="D19" i="13"/>
  <c r="C19" i="13" s="1"/>
  <c r="E78" i="2"/>
  <c r="L427" i="1"/>
  <c r="J571" i="1"/>
  <c r="D81" i="2"/>
  <c r="I552" i="1"/>
  <c r="G22" i="2"/>
  <c r="K545" i="1"/>
  <c r="G192" i="1"/>
  <c r="G36" i="2"/>
  <c r="K551" i="1"/>
  <c r="J545" i="1" l="1"/>
  <c r="H571" i="1"/>
  <c r="L544" i="1"/>
  <c r="F663" i="1"/>
  <c r="D14" i="13"/>
  <c r="C14" i="13" s="1"/>
  <c r="C11" i="10"/>
  <c r="H545" i="1"/>
  <c r="G545" i="1"/>
  <c r="L524" i="1"/>
  <c r="K549" i="1"/>
  <c r="F552" i="1"/>
  <c r="G661" i="1"/>
  <c r="I476" i="1"/>
  <c r="H625" i="1" s="1"/>
  <c r="J625" i="1" s="1"/>
  <c r="E110" i="2"/>
  <c r="A40" i="12"/>
  <c r="A31" i="12"/>
  <c r="A13" i="12"/>
  <c r="L433" i="1"/>
  <c r="L419" i="1"/>
  <c r="L434" i="1" s="1"/>
  <c r="H408" i="1"/>
  <c r="H644" i="1" s="1"/>
  <c r="J644" i="1" s="1"/>
  <c r="I408" i="1"/>
  <c r="L393" i="1"/>
  <c r="C138" i="2" s="1"/>
  <c r="L382" i="1"/>
  <c r="G636" i="1" s="1"/>
  <c r="J636" i="1" s="1"/>
  <c r="D127" i="2"/>
  <c r="D128" i="2" s="1"/>
  <c r="D145" i="2" s="1"/>
  <c r="H661" i="1"/>
  <c r="L362" i="1"/>
  <c r="F661" i="1"/>
  <c r="D29" i="13"/>
  <c r="C29" i="13" s="1"/>
  <c r="I460" i="1"/>
  <c r="F461" i="1"/>
  <c r="H639" i="1" s="1"/>
  <c r="J639" i="1" s="1"/>
  <c r="J641" i="1"/>
  <c r="I452" i="1"/>
  <c r="I446" i="1"/>
  <c r="G642" i="1" s="1"/>
  <c r="G161" i="2"/>
  <c r="K500" i="1"/>
  <c r="G157" i="2"/>
  <c r="K552" i="1"/>
  <c r="L529" i="1"/>
  <c r="L534" i="1"/>
  <c r="L539" i="1"/>
  <c r="I571" i="1"/>
  <c r="L560" i="1"/>
  <c r="L571" i="1" s="1"/>
  <c r="J651" i="1"/>
  <c r="K598" i="1"/>
  <c r="G647" i="1" s="1"/>
  <c r="G662" i="1"/>
  <c r="C29" i="10"/>
  <c r="D18" i="13"/>
  <c r="C18" i="13" s="1"/>
  <c r="C114" i="2"/>
  <c r="F257" i="1"/>
  <c r="F271" i="1" s="1"/>
  <c r="H662" i="1"/>
  <c r="C25" i="10"/>
  <c r="C131" i="2"/>
  <c r="K271" i="1"/>
  <c r="C20" i="10"/>
  <c r="C124" i="2"/>
  <c r="C19" i="10"/>
  <c r="H647" i="1"/>
  <c r="L247" i="1"/>
  <c r="D15" i="13"/>
  <c r="C15" i="13" s="1"/>
  <c r="C16" i="10"/>
  <c r="D6" i="13"/>
  <c r="C6" i="13" s="1"/>
  <c r="E16" i="13"/>
  <c r="C16" i="13" s="1"/>
  <c r="H257" i="1"/>
  <c r="H271" i="1" s="1"/>
  <c r="C111" i="2"/>
  <c r="C119" i="2"/>
  <c r="D12" i="13"/>
  <c r="C12" i="13" s="1"/>
  <c r="C118" i="2"/>
  <c r="C122" i="2"/>
  <c r="E8" i="13"/>
  <c r="C8" i="13" s="1"/>
  <c r="C110" i="2"/>
  <c r="C109" i="2"/>
  <c r="J257" i="1"/>
  <c r="J271" i="1" s="1"/>
  <c r="I257" i="1"/>
  <c r="I271" i="1" s="1"/>
  <c r="G649" i="1"/>
  <c r="J649" i="1" s="1"/>
  <c r="F662" i="1"/>
  <c r="D5" i="13"/>
  <c r="C5" i="13" s="1"/>
  <c r="L211" i="1"/>
  <c r="E124" i="2"/>
  <c r="C21" i="10"/>
  <c r="E122" i="2"/>
  <c r="C18" i="10"/>
  <c r="C15" i="10"/>
  <c r="J655" i="1"/>
  <c r="H25" i="13"/>
  <c r="L351" i="1"/>
  <c r="F22" i="13"/>
  <c r="C22" i="13" s="1"/>
  <c r="E130" i="2"/>
  <c r="E125" i="2"/>
  <c r="E121" i="2"/>
  <c r="E120" i="2"/>
  <c r="E123" i="2"/>
  <c r="H338" i="1"/>
  <c r="H352" i="1" s="1"/>
  <c r="C13" i="10"/>
  <c r="G338" i="1"/>
  <c r="G352" i="1" s="1"/>
  <c r="F338" i="1"/>
  <c r="F352" i="1" s="1"/>
  <c r="C17" i="10"/>
  <c r="L309" i="1"/>
  <c r="G660" i="1" s="1"/>
  <c r="J338" i="1"/>
  <c r="J352" i="1" s="1"/>
  <c r="C12" i="10"/>
  <c r="E112" i="2"/>
  <c r="E109" i="2"/>
  <c r="K338" i="1"/>
  <c r="K352" i="1" s="1"/>
  <c r="C10" i="10"/>
  <c r="L290" i="1"/>
  <c r="E62" i="2"/>
  <c r="E63" i="2" s="1"/>
  <c r="H112" i="1"/>
  <c r="C62" i="2"/>
  <c r="C63" i="2" s="1"/>
  <c r="D63" i="2"/>
  <c r="C35" i="10"/>
  <c r="F112" i="1"/>
  <c r="C36" i="10" s="1"/>
  <c r="C70" i="2"/>
  <c r="H192" i="1"/>
  <c r="G645" i="1"/>
  <c r="J645" i="1" s="1"/>
  <c r="C91" i="2"/>
  <c r="H169" i="1"/>
  <c r="F169" i="1"/>
  <c r="E81" i="2"/>
  <c r="C78" i="2"/>
  <c r="C81" i="2"/>
  <c r="D31" i="2"/>
  <c r="D51" i="2" s="1"/>
  <c r="E31" i="2"/>
  <c r="H52" i="1"/>
  <c r="H619" i="1" s="1"/>
  <c r="J619" i="1" s="1"/>
  <c r="F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169" i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A22" i="12"/>
  <c r="J652" i="1"/>
  <c r="G571" i="1"/>
  <c r="I434" i="1"/>
  <c r="G434" i="1"/>
  <c r="I663" i="1"/>
  <c r="C27" i="10"/>
  <c r="C141" i="2" l="1"/>
  <c r="C144" i="2" s="1"/>
  <c r="G638" i="1"/>
  <c r="J472" i="1"/>
  <c r="G646" i="1"/>
  <c r="J468" i="1"/>
  <c r="H660" i="1"/>
  <c r="L545" i="1"/>
  <c r="H664" i="1"/>
  <c r="H667" i="1" s="1"/>
  <c r="G635" i="1"/>
  <c r="G472" i="1"/>
  <c r="G664" i="1"/>
  <c r="G667" i="1" s="1"/>
  <c r="L408" i="1"/>
  <c r="G637" i="1" s="1"/>
  <c r="I661" i="1"/>
  <c r="I461" i="1"/>
  <c r="H642" i="1" s="1"/>
  <c r="J642" i="1" s="1"/>
  <c r="G51" i="2"/>
  <c r="J647" i="1"/>
  <c r="F33" i="13"/>
  <c r="I662" i="1"/>
  <c r="F660" i="1"/>
  <c r="F664" i="1" s="1"/>
  <c r="F672" i="1" s="1"/>
  <c r="C4" i="10" s="1"/>
  <c r="L257" i="1"/>
  <c r="L271" i="1" s="1"/>
  <c r="C115" i="2"/>
  <c r="C128" i="2"/>
  <c r="E33" i="13"/>
  <c r="D35" i="13" s="1"/>
  <c r="E128" i="2"/>
  <c r="C25" i="13"/>
  <c r="H33" i="13"/>
  <c r="C28" i="10"/>
  <c r="D19" i="10" s="1"/>
  <c r="H648" i="1"/>
  <c r="J648" i="1" s="1"/>
  <c r="E115" i="2"/>
  <c r="D31" i="13"/>
  <c r="C31" i="13" s="1"/>
  <c r="L338" i="1"/>
  <c r="L352" i="1" s="1"/>
  <c r="C39" i="10"/>
  <c r="H193" i="1"/>
  <c r="D104" i="2"/>
  <c r="G104" i="2"/>
  <c r="F104" i="2"/>
  <c r="I193" i="1"/>
  <c r="G630" i="1" s="1"/>
  <c r="J630" i="1" s="1"/>
  <c r="E104" i="2"/>
  <c r="C104" i="2"/>
  <c r="F193" i="1"/>
  <c r="G627" i="1" s="1"/>
  <c r="J627" i="1" s="1"/>
  <c r="E51" i="2"/>
  <c r="F51" i="2"/>
  <c r="C51" i="2"/>
  <c r="G631" i="1"/>
  <c r="G193" i="1"/>
  <c r="G626" i="1"/>
  <c r="J52" i="1"/>
  <c r="H621" i="1" s="1"/>
  <c r="J621" i="1" s="1"/>
  <c r="C38" i="10"/>
  <c r="J474" i="1" l="1"/>
  <c r="H638" i="1"/>
  <c r="J638" i="1"/>
  <c r="J470" i="1"/>
  <c r="H631" i="1"/>
  <c r="J631" i="1" s="1"/>
  <c r="H637" i="1"/>
  <c r="J637" i="1"/>
  <c r="G672" i="1"/>
  <c r="C5" i="10" s="1"/>
  <c r="G633" i="1"/>
  <c r="H472" i="1"/>
  <c r="H672" i="1"/>
  <c r="C6" i="10" s="1"/>
  <c r="G474" i="1"/>
  <c r="H635" i="1"/>
  <c r="J635" i="1"/>
  <c r="G629" i="1"/>
  <c r="H468" i="1"/>
  <c r="H646" i="1"/>
  <c r="J646" i="1" s="1"/>
  <c r="G628" i="1"/>
  <c r="G468" i="1"/>
  <c r="I660" i="1"/>
  <c r="I664" i="1" s="1"/>
  <c r="I672" i="1" s="1"/>
  <c r="C7" i="10" s="1"/>
  <c r="F472" i="1"/>
  <c r="H632" i="1" s="1"/>
  <c r="G632" i="1"/>
  <c r="F667" i="1"/>
  <c r="C145" i="2"/>
  <c r="F474" i="1"/>
  <c r="F476" i="1" s="1"/>
  <c r="H622" i="1" s="1"/>
  <c r="J622" i="1" s="1"/>
  <c r="E145" i="2"/>
  <c r="D11" i="10"/>
  <c r="D27" i="10"/>
  <c r="D12" i="10"/>
  <c r="D20" i="10"/>
  <c r="D22" i="10"/>
  <c r="D15" i="10"/>
  <c r="D13" i="10"/>
  <c r="D17" i="10"/>
  <c r="D24" i="10"/>
  <c r="D18" i="10"/>
  <c r="D21" i="10"/>
  <c r="D10" i="10"/>
  <c r="D26" i="10"/>
  <c r="C30" i="10"/>
  <c r="D16" i="10"/>
  <c r="D23" i="10"/>
  <c r="D25" i="10"/>
  <c r="D33" i="13"/>
  <c r="D36" i="13" s="1"/>
  <c r="C41" i="10"/>
  <c r="D38" i="10" s="1"/>
  <c r="J476" i="1" l="1"/>
  <c r="H626" i="1" s="1"/>
  <c r="J626" i="1" s="1"/>
  <c r="H633" i="1"/>
  <c r="J633" i="1" s="1"/>
  <c r="H474" i="1"/>
  <c r="H470" i="1"/>
  <c r="H476" i="1" s="1"/>
  <c r="H624" i="1" s="1"/>
  <c r="J624" i="1" s="1"/>
  <c r="H629" i="1"/>
  <c r="J629" i="1"/>
  <c r="G470" i="1"/>
  <c r="G476" i="1" s="1"/>
  <c r="H623" i="1" s="1"/>
  <c r="J623" i="1" s="1"/>
  <c r="H628" i="1"/>
  <c r="J628" i="1" s="1"/>
  <c r="J632" i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<sst xmlns="http://schemas.openxmlformats.org/spreadsheetml/2006/main" count="3964" uniqueCount="913">
  <si>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</si>
  <si>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</si>
  <si>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</si>
  <si>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</si>
  <si>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</si>
  <si>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</si>
  <si>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</si>
  <si>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</si>
  <si>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</si>
  <si>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</si>
  <si>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</si>
  <si>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</si>
  <si>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</si>
  <si>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</si>
  <si>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</si>
  <si>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</si>
  <si>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</si>
  <si>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</si>
  <si>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</si>
  <si>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</si>
  <si>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</si>
  <si>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</si>
  <si>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</si>
  <si>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</si>
  <si>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</si>
  <si>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</si>
  <si>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</si>
  <si>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</si>
  <si>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</si>
  <si>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</si>
  <si>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</si>
  <si>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</si>
  <si>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</si>
  <si>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</si>
  <si>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</si>
  <si>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</si>
  <si>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</si>
  <si>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</si>
  <si>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</si>
  <si>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</si>
  <si>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</si>
  <si>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</si>
  <si>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</si>
  <si>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</si>
  <si>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</si>
  <si>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</si>
  <si>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</si>
  <si>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</si>
  <si>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</si>
  <si>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</si>
  <si>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</si>
  <si>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</si>
  <si>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</si>
  <si>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</si>
  <si>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</si>
  <si>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</si>
  <si>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</si>
  <si>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</si>
  <si>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</si>
  <si>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</si>
  <si>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</si>
  <si>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</si>
  <si>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</si>
  <si>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</si>
  <si>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</si>
  <si>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</si>
  <si>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</si>
  <si>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</si>
  <si>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</si>
  <si>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</si>
  <si>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</si>
  <si>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</si>
  <si>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</si>
  <si>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</si>
  <si>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</si>
  <si>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</si>
  <si>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</si>
  <si>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</si>
  <si>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</si>
  <si>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</si>
  <si>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</si>
  <si>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</si>
  <si>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</si>
  <si>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</si>
  <si>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</si>
  <si>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</si>
  <si>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</si>
  <si>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</si>
  <si>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</si>
  <si>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</si>
  <si>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</si>
  <si>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</si>
  <si>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</si>
  <si>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</si>
  <si>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</si>
  <si>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</si>
  <si>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</si>
  <si>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</si>
  <si>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</si>
  <si>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</si>
  <si>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</si>
  <si>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</si>
  <si>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</si>
  <si>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</si>
  <si>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</si>
  <si>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</si>
  <si>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</si>
  <si>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</si>
  <si>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</si>
  <si>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</si>
  <si>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</si>
  <si>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</si>
  <si>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</si>
  <si>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</si>
  <si>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</si>
  <si>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</si>
  <si>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</si>
  <si>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</si>
  <si>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</si>
  <si>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</si>
  <si>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</si>
  <si>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</si>
  <si>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</si>
  <si>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</si>
  <si>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</si>
  <si>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</si>
  <si>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</si>
  <si>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</si>
  <si>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</si>
  <si>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</si>
  <si>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</si>
  <si>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</si>
  <si>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</si>
  <si>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</si>
  <si>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</si>
  <si>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</si>
  <si>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</si>
  <si>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</si>
  <si>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</si>
  <si>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</si>
  <si>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</si>
  <si>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</si>
  <si>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</si>
  <si>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</si>
  <si>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</si>
  <si>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</si>
  <si>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</si>
  <si>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</si>
  <si>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</si>
  <si>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</si>
  <si>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</si>
  <si>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</si>
  <si>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</si>
  <si>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</si>
  <si>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</si>
  <si>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</si>
  <si>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</si>
  <si>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</si>
  <si>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</si>
  <si>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</si>
  <si>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</si>
  <si>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</si>
  <si>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</si>
  <si>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</si>
  <si>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</si>
  <si>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</si>
  <si>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</si>
  <si>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</si>
  <si>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</si>
  <si>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</si>
  <si>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</si>
  <si>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</si>
  <si>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</si>
  <si>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</si>
  <si>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</si>
  <si>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</si>
  <si>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</si>
  <si>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</si>
  <si>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</si>
  <si>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</si>
  <si>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</si>
  <si>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</si>
  <si>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</si>
  <si>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</si>
  <si>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</si>
  <si>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</si>
  <si>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</si>
  <si>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</si>
  <si>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</si>
  <si>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</si>
  <si>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</si>
  <si>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</si>
  <si>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</si>
  <si>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</si>
  <si>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</si>
  <si>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</si>
  <si>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</si>
  <si>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</si>
  <si>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</si>
  <si>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</si>
  <si>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</si>
  <si>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</si>
  <si>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</si>
  <si>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</si>
  <si>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</si>
  <si>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</si>
  <si>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</si>
  <si>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</si>
  <si>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</si>
  <si>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</si>
  <si>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</si>
  <si>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</si>
  <si>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</si>
  <si>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</si>
  <si>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</si>
  <si>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</si>
  <si>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</si>
  <si>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</si>
  <si>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</si>
  <si>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</si>
  <si>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</si>
  <si>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</si>
  <si>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</si>
  <si>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</si>
  <si>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</si>
  <si>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</si>
  <si>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</si>
  <si>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</si>
  <si>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</si>
  <si>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</si>
  <si>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</si>
  <si>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</si>
  <si>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</si>
  <si>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</si>
  <si>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</si>
  <si>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</si>
  <si>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</si>
  <si>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</si>
  <si>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</si>
  <si>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</si>
  <si>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</si>
  <si>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</si>
  <si>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</si>
  <si>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</si>
  <si>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</si>
  <si>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</si>
  <si>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</si>
  <si>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</si>
  <si>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</si>
  <si>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</si>
  <si>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</si>
  <si>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</si>
  <si>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</si>
  <si>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</si>
  <si>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</si>
  <si>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</si>
  <si>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</si>
  <si>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</si>
  <si>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</si>
  <si>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</si>
  <si>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</si>
  <si>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</si>
  <si>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</si>
  <si>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</si>
  <si>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</si>
  <si>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</si>
  <si>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</si>
  <si>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</si>
  <si>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</si>
  <si>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</si>
  <si>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</si>
  <si>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</si>
  <si>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</si>
  <si>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</si>
  <si>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</si>
  <si>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</si>
  <si>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</si>
  <si>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</si>
  <si>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</si>
  <si>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</si>
  <si>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</si>
  <si>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</si>
  <si>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</si>
  <si>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</si>
  <si>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</si>
  <si>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</si>
  <si>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</si>
  <si>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</si>
  <si>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</si>
  <si>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</si>
  <si>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</si>
  <si>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</si>
  <si>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</si>
  <si>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</si>
  <si>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</si>
  <si>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</si>
  <si>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</si>
  <si>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</si>
  <si>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</si>
  <si>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</si>
  <si>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</si>
  <si>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</si>
  <si>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</si>
  <si>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</si>
  <si>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</si>
  <si>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</si>
  <si>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</si>
  <si>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</si>
  <si>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</si>
  <si>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</si>
  <si>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</si>
  <si>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</si>
  <si>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</si>
  <si>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</si>
  <si>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</si>
  <si>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</si>
  <si>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</si>
  <si>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</si>
  <si>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</si>
  <si>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</si>
  <si>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</si>
  <si>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</si>
  <si>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</si>
  <si>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</si>
  <si>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</si>
  <si>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</si>
  <si>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</si>
  <si>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</si>
  <si>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</si>
  <si>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</si>
  <si>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</si>
  <si>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</si>
  <si>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</si>
  <si>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</si>
  <si>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</si>
  <si>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</si>
  <si>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</si>
  <si>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</si>
  <si>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</si>
  <si>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</si>
  <si>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</si>
  <si>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</si>
  <si>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</si>
  <si>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</si>
  <si>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</si>
  <si>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</si>
  <si>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</si>
  <si>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</si>
  <si>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</si>
  <si>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</si>
  <si>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</si>
  <si>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</si>
  <si>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</si>
  <si>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</si>
  <si>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</si>
  <si>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</si>
  <si>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</si>
  <si>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</si>
  <si>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</si>
  <si>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</si>
  <si>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</si>
  <si>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</si>
  <si>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</si>
  <si>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</si>
  <si>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</si>
  <si>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</si>
  <si>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</si>
  <si>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</si>
  <si>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</si>
  <si>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</si>
  <si>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</si>
  <si>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</si>
  <si>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</si>
  <si>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</si>
  <si>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</si>
  <si>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</si>
  <si>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</si>
  <si>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</si>
  <si>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</si>
  <si>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</si>
  <si>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</si>
  <si>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</si>
  <si>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</si>
  <si>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</si>
  <si>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</si>
  <si>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</si>
  <si>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</si>
  <si>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</si>
  <si>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</si>
  <si>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</si>
  <si>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</si>
  <si>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</si>
  <si>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</si>
  <si>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</si>
  <si>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</si>
  <si>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</si>
  <si>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</si>
  <si>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</si>
  <si>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</si>
  <si>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</si>
  <si>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</si>
  <si>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</si>
  <si>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</si>
  <si>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</si>
  <si>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</si>
  <si>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</si>
  <si>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</si>
  <si>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</si>
  <si>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</si>
  <si>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</si>
  <si>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</si>
  <si>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</si>
  <si>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</si>
  <si>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</si>
  <si>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</si>
  <si>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</si>
  <si>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</si>
  <si>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</si>
  <si>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</si>
  <si>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</si>
  <si>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</si>
  <si>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</si>
  <si>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</si>
  <si>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</si>
  <si>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</si>
  <si>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</si>
  <si>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</si>
  <si>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</si>
  <si>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</si>
  <si>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</si>
  <si>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</si>
  <si>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</si>
  <si>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</si>
  <si>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</si>
  <si>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</si>
  <si>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</si>
  <si>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</si>
  <si>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</si>
  <si>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</si>
  <si>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</si>
  <si>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</si>
  <si>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</si>
  <si>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</si>
  <si>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</si>
  <si>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</si>
  <si>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</si>
  <si>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</si>
  <si>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</si>
  <si>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</si>
  <si>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</si>
  <si>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</si>
  <si>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</si>
  <si>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</si>
  <si>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</si>
  <si>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</si>
  <si>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</si>
  <si>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</si>
  <si>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</si>
  <si>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</si>
  <si>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</si>
  <si>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</si>
  <si>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</si>
  <si>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</si>
  <si>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</si>
  <si>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</si>
  <si>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</si>
  <si>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</si>
  <si>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</si>
  <si>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</si>
  <si>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</si>
  <si>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</si>
  <si>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</si>
  <si>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</si>
  <si>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</si>
  <si>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</si>
  <si>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</si>
  <si>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</si>
  <si>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</si>
  <si>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</si>
  <si>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</si>
  <si>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</si>
  <si>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</si>
  <si>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</si>
  <si>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</si>
  <si>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</si>
  <si>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</si>
  <si>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</si>
  <si>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</si>
  <si>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</si>
  <si>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</si>
  <si>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</si>
  <si>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</si>
  <si>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</si>
  <si>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</si>
  <si>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</si>
  <si>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</si>
  <si>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</si>
  <si>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</si>
  <si>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</si>
  <si>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</si>
  <si>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</si>
  <si>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</si>
  <si>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</si>
  <si>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</si>
  <si>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</si>
  <si>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</si>
  <si>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</si>
  <si>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</si>
  <si>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</si>
  <si>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</si>
  <si>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</si>
  <si>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</si>
  <si>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</si>
  <si>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</si>
  <si>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</si>
  <si>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</si>
  <si>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</si>
  <si>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</si>
  <si>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</si>
  <si>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</si>
  <si>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</si>
  <si>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</si>
  <si>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</si>
  <si>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</si>
  <si>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</si>
  <si>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</si>
  <si>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</si>
  <si>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</si>
  <si>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</si>
  <si>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</si>
  <si>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</si>
  <si>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</si>
  <si>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</si>
  <si>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</si>
  <si>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</si>
  <si>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</si>
  <si>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</si>
  <si>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</si>
  <si>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</si>
  <si>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</si>
  <si>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</si>
  <si>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</si>
  <si>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</si>
  <si>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</si>
  <si>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</si>
  <si>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</si>
  <si>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</si>
  <si>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</si>
  <si>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</si>
  <si>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</si>
  <si>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</si>
  <si>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</si>
  <si>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</si>
  <si>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</si>
  <si>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</si>
  <si>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</si>
  <si>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</si>
  <si>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</si>
  <si>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</si>
  <si>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</si>
  <si>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</si>
  <si>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</si>
  <si>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</si>
  <si>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</si>
  <si>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</si>
  <si>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</si>
  <si>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</si>
  <si>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</si>
  <si>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</si>
  <si>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</si>
  <si>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</si>
  <si>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</si>
  <si>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</si>
  <si>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</si>
  <si>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</si>
  <si>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</si>
  <si>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</si>
  <si>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</si>
  <si>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</si>
  <si>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</si>
  <si>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</si>
  <si>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</si>
  <si>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</si>
  <si>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</si>
  <si>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</si>
  <si>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</si>
  <si>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</si>
  <si>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</si>
  <si>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</si>
  <si>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</si>
  <si>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</si>
  <si>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</si>
  <si>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</si>
  <si>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</si>
  <si>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</si>
  <si>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</si>
  <si>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</si>
  <si>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</si>
  <si>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</si>
  <si>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</si>
  <si>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</si>
  <si>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</si>
  <si>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</si>
  <si>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</si>
  <si>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</si>
  <si>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</si>
  <si>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</si>
  <si>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</si>
  <si>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</si>
  <si>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</si>
  <si>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</si>
  <si>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</si>
  <si>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</si>
  <si>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</si>
  <si>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</si>
  <si>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</si>
  <si>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</si>
  <si>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</si>
  <si>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</si>
  <si>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</si>
  <si>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</si>
  <si>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</si>
  <si>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</si>
  <si>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</si>
  <si>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</si>
  <si>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</si>
  <si>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</si>
  <si>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</si>
  <si>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</si>
  <si>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</si>
  <si>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</si>
  <si>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</si>
  <si>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</si>
  <si>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</si>
  <si>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</si>
  <si>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</si>
  <si>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</si>
  <si>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</si>
  <si>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</si>
  <si>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</si>
  <si>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</si>
  <si>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</si>
  <si>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</si>
  <si>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</si>
  <si>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</si>
  <si>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</si>
  <si>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</si>
  <si>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</si>
  <si>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</si>
  <si>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</si>
  <si>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</si>
  <si>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</si>
  <si>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</si>
  <si>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</si>
  <si>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</si>
  <si>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</si>
  <si>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</si>
  <si>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</si>
  <si>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</si>
  <si>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</si>
  <si>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</si>
  <si>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</si>
  <si>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</si>
  <si>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</si>
  <si>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</si>
  <si>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</si>
  <si>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</si>
  <si>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</si>
  <si>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</si>
  <si>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</si>
  <si>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</si>
  <si>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</si>
  <si>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</si>
  <si>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</si>
  <si>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</si>
  <si>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</si>
  <si>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</si>
  <si>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</si>
  <si>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</si>
  <si>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</si>
  <si>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</si>
  <si>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</si>
  <si>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</si>
  <si>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</si>
  <si>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</si>
  <si>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</si>
  <si>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</si>
  <si>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</si>
  <si>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</si>
  <si>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</si>
  <si>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</si>
  <si>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</si>
  <si>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</si>
  <si>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</si>
  <si>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</si>
  <si>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</si>
  <si>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</si>
  <si>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</si>
  <si>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</si>
  <si>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</si>
  <si>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</si>
  <si>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</si>
  <si>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</si>
  <si>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</si>
  <si>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</si>
  <si>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</si>
  <si>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</si>
  <si>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</si>
  <si>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</si>
  <si>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</si>
  <si>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</si>
  <si>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</si>
  <si>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</si>
  <si>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</si>
  <si>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</si>
  <si>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</si>
  <si>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</si>
  <si>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</si>
  <si>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</si>
  <si>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</si>
  <si>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</si>
  <si>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</si>
  <si>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</si>
  <si>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</si>
  <si>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</si>
  <si>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</si>
  <si>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</si>
  <si>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</si>
  <si>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</si>
  <si>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</si>
  <si>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</si>
  <si>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</si>
  <si>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</si>
  <si>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</si>
  <si>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</si>
  <si>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</si>
  <si>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</si>
  <si>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</si>
  <si>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</si>
  <si>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</si>
  <si>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</si>
  <si>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</si>
  <si>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</si>
  <si>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</si>
  <si>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</si>
  <si>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</si>
  <si>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</si>
  <si>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</si>
  <si>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</si>
  <si>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</si>
  <si>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</si>
  <si>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</si>
  <si>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</si>
  <si>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</si>
  <si>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</si>
  <si>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</si>
  <si>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</si>
  <si>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</si>
  <si>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</si>
  <si>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</si>
  <si>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</si>
  <si>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</si>
  <si>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</si>
  <si>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</si>
  <si>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</si>
  <si>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</si>
  <si>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</si>
  <si>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</si>
  <si>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</si>
  <si>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</si>
  <si>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</si>
  <si>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</si>
  <si>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</si>
  <si>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</si>
  <si>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</si>
  <si>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</si>
  <si>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</si>
  <si>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</si>
  <si>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</si>
  <si>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</si>
  <si>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</si>
  <si>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</si>
  <si>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</si>
  <si>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</si>
  <si>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</si>
  <si>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</si>
  <si>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</si>
  <si>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</si>
  <si>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</si>
  <si>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</si>
  <si>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</si>
  <si>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</si>
  <si>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</si>
  <si>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</si>
  <si>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</si>
  <si>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</si>
  <si>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</si>
  <si>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</si>
  <si>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</si>
  <si>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</si>
  <si>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</si>
  <si>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</si>
  <si>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</si>
  <si>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</si>
  <si>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</si>
  <si>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</si>
  <si>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</si>
  <si>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</si>
  <si>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</si>
  <si>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</si>
  <si>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</si>
  <si>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</si>
  <si>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</si>
  <si>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</si>
  <si>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</si>
  <si>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</si>
  <si>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</si>
  <si>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</si>
  <si>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</si>
  <si>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</si>
  <si>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</si>
  <si>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</si>
  <si>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</si>
  <si>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</si>
  <si>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</si>
  <si>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</si>
  <si>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</si>
  <si>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</si>
  <si>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</si>
  <si>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</si>
  <si>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</si>
  <si>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</si>
  <si>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</si>
  <si>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</si>
  <si>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</si>
  <si>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</si>
  <si>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</si>
  <si>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</si>
  <si>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</si>
  <si>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</si>
  <si>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</si>
  <si>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</si>
  <si>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</si>
  <si>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</si>
  <si>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</si>
  <si>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</si>
  <si>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</si>
  <si>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</si>
  <si>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</si>
  <si>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</si>
  <si>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</si>
  <si>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</si>
  <si>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</si>
  <si>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</si>
  <si>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</si>
  <si>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</si>
  <si>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</si>
  <si>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</si>
  <si>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</si>
  <si>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</si>
  <si>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</si>
  <si>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</si>
  <si>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</si>
  <si>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</si>
  <si>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</si>
  <si>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</si>
  <si>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</si>
  <si>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</si>
  <si>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</si>
  <si>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</si>
  <si>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</si>
  <si>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</si>
  <si>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</si>
  <si>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</si>
  <si>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</si>
  <si>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</si>
  <si>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</si>
  <si>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</si>
  <si>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</si>
  <si>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</si>
  <si>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</si>
  <si>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</si>
  <si>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</si>
  <si>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</si>
  <si>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</si>
  <si>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</si>
  <si>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</si>
  <si>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</si>
  <si>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</si>
  <si>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</si>
  <si>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</si>
  <si>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</si>
  <si>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</si>
  <si>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</si>
  <si>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</si>
  <si>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</si>
  <si>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</si>
  <si>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</si>
  <si>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</si>
  <si>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</si>
  <si>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</si>
  <si>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</si>
  <si>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</si>
  <si>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</si>
  <si>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</si>
  <si>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</si>
  <si>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</si>
  <si>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</si>
  <si>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</si>
  <si>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</si>
  <si>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</si>
  <si>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</t>
  </si>
  <si>
    <t>Rollinsford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</si>
</sst>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4" t="s">
        <v>912</v>
      </c>
      <c r="B2" s="21">
        <v>463</v>
      </c>
      <c r="C2" s="21">
        <v>463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281</v>
      </c>
      <c r="G6" s="223" t="s">
        <v>282</v>
      </c>
      <c r="H6" s="223" t="s">
        <v>283</v>
      </c>
      <c r="I6" s="223" t="s">
        <v>284</v>
      </c>
      <c r="J6" s="223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3"/>
      <c r="G7" s="224"/>
      <c r="H7" s="223" t="s">
        <v>772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514888.64</v>
      </c>
      <c r="G9" s="18">
        <v>0</v>
      </c>
      <c r="H9" s="18">
        <v>0</v>
      </c>
      <c r="I9" s="18">
        <v>0</v>
      </c>
      <c r="J9" s="66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1009.9</v>
      </c>
      <c r="G10" s="18">
        <v>0</v>
      </c>
      <c r="H10" s="18">
        <v>0</v>
      </c>
      <c r="I10" s="18">
        <v>0</v>
      </c>
      <c r="J10" s="66">
        <f>SUM(I440)</f>
        <v>58579.66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223990.44+106303.06</f>
        <v>330293.5</v>
      </c>
      <c r="G12" s="18">
        <f>105364.69+0.01</f>
        <v>105364.7</v>
      </c>
      <c r="H12" s="18">
        <f>213414.19-25909.47</f>
        <v>187504.72</v>
      </c>
      <c r="I12" s="18">
        <v>0</v>
      </c>
      <c r="J12" s="66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22572.69</v>
      </c>
      <c r="G13" s="18">
        <v>9400.66</v>
      </c>
      <c r="H13" s="18">
        <v>12695.15</v>
      </c>
      <c r="I13" s="18">
        <v>0</v>
      </c>
      <c r="J13" s="66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6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868764.73</v>
      </c>
      <c r="G19" s="41">
        <f>SUM(G9:G18)</f>
        <v>114765.36</v>
      </c>
      <c r="H19" s="41">
        <f>SUM(H9:H18)</f>
        <v>200199.87</v>
      </c>
      <c r="I19" s="41">
        <f>SUM(I9:I18)</f>
        <v>0</v>
      </c>
      <c r="J19" s="41">
        <f>SUM(J9:J18)</f>
        <v>58579.66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213414.19+105364.69</f>
        <v>318778.88</v>
      </c>
      <c r="G22" s="18">
        <f>102245.32+4057.74</f>
        <v>106303.06000000001</v>
      </c>
      <c r="H22" s="18">
        <v>199269.77</v>
      </c>
      <c r="I22" s="18">
        <v>0</v>
      </c>
      <c r="J22" s="66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930.1</v>
      </c>
      <c r="I23" s="18">
        <v>0</v>
      </c>
      <c r="J23" s="66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239740.5</v>
      </c>
      <c r="G24" s="18">
        <v>0</v>
      </c>
      <c r="H24" s="18">
        <v>0</v>
      </c>
      <c r="I24" s="18">
        <v>0</v>
      </c>
      <c r="J24" s="66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1596.57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558519.38</v>
      </c>
      <c r="G32" s="41">
        <f>SUM(G22:G31)</f>
        <v>107899.63000000002</v>
      </c>
      <c r="H32" s="41">
        <f>SUM(H22:H31)</f>
        <v>200199.87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58579.66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f>4719.15+2146.58</f>
        <v>6865.73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>
        <f>289390.81+20854.54-100000</f>
        <v>210245.34999999998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310245.34999999998</v>
      </c>
      <c r="G51" s="41">
        <f>SUM(G35:G50)</f>
        <v>6865.73</v>
      </c>
      <c r="H51" s="41">
        <f>SUM(H35:H50)</f>
        <v>0</v>
      </c>
      <c r="I51" s="41">
        <f>SUM(I35:I50)</f>
        <v>0</v>
      </c>
      <c r="J51" s="41">
        <f>SUM(J35:J50)</f>
        <v>58579.66</v>
      </c>
      <c r="K51" s="45" t="s">
        <v>289</v>
      </c>
      <c r="L51" s="45" t="s">
        <v>289</v>
      </c>
      <c r="N51" s="268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868764.73</v>
      </c>
      <c r="G52" s="41">
        <f>G51+G32</f>
        <v>114765.36000000002</v>
      </c>
      <c r="H52" s="41">
        <f>H51+H32</f>
        <v>200199.87</v>
      </c>
      <c r="I52" s="41">
        <f>I51+I32</f>
        <v>0</v>
      </c>
      <c r="J52" s="41">
        <f>J51+J32</f>
        <v>58579.66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3922888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3922888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68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68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95.92</v>
      </c>
      <c r="G96" s="18">
        <v>0</v>
      </c>
      <c r="H96" s="18">
        <v>0</v>
      </c>
      <c r="I96" s="18">
        <v>0</v>
      </c>
      <c r="J96" s="18">
        <f>1.67+5.51</f>
        <v>7.18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16818.21+692.25+6.1-12.09+2455.35+621</f>
        <v>20580.819999999996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2200+2658.26</f>
        <v>4858.26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4954.18</v>
      </c>
      <c r="G111" s="41">
        <f>SUM(G96:G110)</f>
        <v>20580.819999999996</v>
      </c>
      <c r="H111" s="41">
        <f>SUM(H96:H110)</f>
        <v>0</v>
      </c>
      <c r="I111" s="41">
        <f>SUM(I96:I110)</f>
        <v>0</v>
      </c>
      <c r="J111" s="41">
        <f>SUM(J96:J110)</f>
        <v>7.18</v>
      </c>
      <c r="K111" s="45" t="s">
        <v>289</v>
      </c>
      <c r="L111" s="45" t="s">
        <v>289</v>
      </c>
      <c r="N111" s="268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3927842.18</v>
      </c>
      <c r="G112" s="41">
        <f>G60+G111</f>
        <v>20580.819999999996</v>
      </c>
      <c r="H112" s="41">
        <f>H60+H79+H94+H111</f>
        <v>0</v>
      </c>
      <c r="I112" s="41">
        <f>I60+I111</f>
        <v>0</v>
      </c>
      <c r="J112" s="41">
        <f>J60+J111</f>
        <v>7.18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582184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601986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1184170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24053.84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734.31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24053.84</v>
      </c>
      <c r="G136" s="41">
        <f>SUM(G123:G135)</f>
        <v>734.31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1208223.8400000001</v>
      </c>
      <c r="G140" s="41">
        <f>G121+SUM(G136:G137)</f>
        <v>734.31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2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5180.25+28397.87</f>
        <v>33578.119999999995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9929.21+6878.79+1116.56+14424.89</f>
        <v>32349.45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17135.93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28479.26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28479.26</v>
      </c>
      <c r="G162" s="41">
        <f>SUM(G150:G161)</f>
        <v>17135.93</v>
      </c>
      <c r="H162" s="41">
        <f>SUM(H150:H161)</f>
        <v>65927.569999999992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28479.26</v>
      </c>
      <c r="G169" s="41">
        <f>G147+G162+SUM(G163:G168)</f>
        <v>17135.93</v>
      </c>
      <c r="H169" s="41">
        <f>H147+H162+SUM(H163:H168)</f>
        <v>65927.569999999992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2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12000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12000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40000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68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8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4" t="s">
        <v>431</v>
      </c>
      <c r="E192" s="51">
        <v>5000</v>
      </c>
      <c r="F192" s="41">
        <f>F177+F183+SUM(F188:F191)</f>
        <v>40000</v>
      </c>
      <c r="G192" s="41">
        <f>G183+SUM(G188:G191)</f>
        <v>12000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5" t="s">
        <v>431</v>
      </c>
      <c r="E193" s="44"/>
      <c r="F193" s="47">
        <f>F112+F140+F169+F192</f>
        <v>5204545.28</v>
      </c>
      <c r="G193" s="47">
        <f>G112+G140+G169+G192</f>
        <v>50451.06</v>
      </c>
      <c r="H193" s="47">
        <f>H112+H140+H169+H192</f>
        <v>65927.569999999992</v>
      </c>
      <c r="I193" s="47">
        <f>I112+I140+I169+I192</f>
        <v>0</v>
      </c>
      <c r="J193" s="47">
        <f>J112+J140+J192</f>
        <v>7.18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5" t="s">
        <v>693</v>
      </c>
      <c r="G194" s="175" t="s">
        <v>694</v>
      </c>
      <c r="H194" s="175" t="s">
        <v>695</v>
      </c>
      <c r="I194" s="175" t="s">
        <v>696</v>
      </c>
      <c r="J194" s="175" t="s">
        <v>697</v>
      </c>
      <c r="K194" s="175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889722.08</v>
      </c>
      <c r="G197" s="18">
        <v>410698.85</v>
      </c>
      <c r="H197" s="18">
        <v>25844.240000000107</v>
      </c>
      <c r="I197" s="18">
        <v>32850.31</v>
      </c>
      <c r="J197" s="18">
        <v>36672.199999999997</v>
      </c>
      <c r="K197" s="18">
        <v>0</v>
      </c>
      <c r="L197" s="19">
        <f>SUM(F197:K197)</f>
        <v>1395787.68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347611.31</v>
      </c>
      <c r="G198" s="18">
        <v>116802.12</v>
      </c>
      <c r="H198" s="18">
        <v>68929.040000000008</v>
      </c>
      <c r="I198" s="18">
        <v>3432.61</v>
      </c>
      <c r="J198" s="18">
        <v>3584.25</v>
      </c>
      <c r="K198" s="18">
        <v>0</v>
      </c>
      <c r="L198" s="19">
        <f>SUM(F198:K198)</f>
        <v>540359.32999999996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1760</v>
      </c>
      <c r="G200" s="18">
        <v>383.86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2143.86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171456</v>
      </c>
      <c r="G202" s="18">
        <v>100569.09</v>
      </c>
      <c r="H202" s="18">
        <v>35978.490000000005</v>
      </c>
      <c r="I202" s="18">
        <v>795.5</v>
      </c>
      <c r="J202" s="18">
        <v>285.64</v>
      </c>
      <c r="K202" s="18">
        <v>0</v>
      </c>
      <c r="L202" s="19">
        <f t="shared" ref="L202:L208" si="0">SUM(F202:K202)</f>
        <v>309084.71999999997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39034</v>
      </c>
      <c r="G203" s="18">
        <v>8728.5300000000007</v>
      </c>
      <c r="H203" s="18">
        <v>3600.82</v>
      </c>
      <c r="I203" s="18">
        <v>2485.63</v>
      </c>
      <c r="J203" s="18">
        <v>2756</v>
      </c>
      <c r="K203" s="18">
        <v>2128</v>
      </c>
      <c r="L203" s="19">
        <f t="shared" si="0"/>
        <v>58732.979999999996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7380</v>
      </c>
      <c r="G204" s="18">
        <v>813.19</v>
      </c>
      <c r="H204" s="18">
        <v>403512.61</v>
      </c>
      <c r="I204" s="18">
        <v>939.83</v>
      </c>
      <c r="J204" s="18">
        <v>0</v>
      </c>
      <c r="K204" s="18">
        <v>3009.3</v>
      </c>
      <c r="L204" s="19">
        <f t="shared" si="0"/>
        <v>415654.93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115992.5</v>
      </c>
      <c r="G205" s="18">
        <v>37745.370000000003</v>
      </c>
      <c r="H205" s="18">
        <v>1328.19</v>
      </c>
      <c r="I205" s="18">
        <v>437.38</v>
      </c>
      <c r="J205" s="18">
        <v>0</v>
      </c>
      <c r="K205" s="18">
        <v>0</v>
      </c>
      <c r="L205" s="19">
        <f t="shared" si="0"/>
        <v>155503.44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73793.570000000007</v>
      </c>
      <c r="G207" s="18">
        <v>38312.11</v>
      </c>
      <c r="H207" s="18">
        <v>130013.84</v>
      </c>
      <c r="I207" s="18">
        <v>76765.899999999994</v>
      </c>
      <c r="J207" s="18">
        <v>2203.4499999999998</v>
      </c>
      <c r="K207" s="18">
        <v>0</v>
      </c>
      <c r="L207" s="19">
        <f t="shared" si="0"/>
        <v>321088.87000000005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128583.67334448159</v>
      </c>
      <c r="I208" s="18">
        <v>0</v>
      </c>
      <c r="J208" s="18">
        <v>0</v>
      </c>
      <c r="K208" s="18">
        <v>0</v>
      </c>
      <c r="L208" s="19">
        <f t="shared" si="0"/>
        <v>128583.67334448159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1646749.46</v>
      </c>
      <c r="G211" s="41">
        <f t="shared" si="1"/>
        <v>714053.11999999988</v>
      </c>
      <c r="H211" s="41">
        <f t="shared" si="1"/>
        <v>797790.9033444816</v>
      </c>
      <c r="I211" s="41">
        <f t="shared" si="1"/>
        <v>117707.15999999999</v>
      </c>
      <c r="J211" s="41">
        <f t="shared" si="1"/>
        <v>45501.539999999994</v>
      </c>
      <c r="K211" s="41">
        <f t="shared" si="1"/>
        <v>5137.3</v>
      </c>
      <c r="L211" s="41">
        <f t="shared" si="1"/>
        <v>3326939.4833444818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5" t="s">
        <v>693</v>
      </c>
      <c r="G212" s="175" t="s">
        <v>694</v>
      </c>
      <c r="H212" s="175" t="s">
        <v>695</v>
      </c>
      <c r="I212" s="175" t="s">
        <v>696</v>
      </c>
      <c r="J212" s="175" t="s">
        <v>697</v>
      </c>
      <c r="K212" s="175" t="s">
        <v>698</v>
      </c>
      <c r="L212" s="66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491973.62</v>
      </c>
      <c r="I215" s="18">
        <v>0</v>
      </c>
      <c r="J215" s="18">
        <v>0</v>
      </c>
      <c r="K215" s="18">
        <v>0</v>
      </c>
      <c r="L215" s="19">
        <f>SUM(F215:K215)</f>
        <v>491973.62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v>32445.75</v>
      </c>
      <c r="I216" s="18">
        <v>0</v>
      </c>
      <c r="J216" s="18">
        <v>0</v>
      </c>
      <c r="K216" s="18">
        <v>0</v>
      </c>
      <c r="L216" s="19">
        <f>SUM(F216:K216)</f>
        <v>32445.75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31960.103779264209</v>
      </c>
      <c r="I226" s="18">
        <v>0</v>
      </c>
      <c r="J226" s="18">
        <v>0</v>
      </c>
      <c r="K226" s="18">
        <v>0</v>
      </c>
      <c r="L226" s="19">
        <f t="shared" si="2"/>
        <v>31960.103779264209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556379.47377926426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556379.47377926426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5" t="s">
        <v>693</v>
      </c>
      <c r="G230" s="175" t="s">
        <v>694</v>
      </c>
      <c r="H230" s="175" t="s">
        <v>695</v>
      </c>
      <c r="I230" s="175" t="s">
        <v>696</v>
      </c>
      <c r="J230" s="175" t="s">
        <v>697</v>
      </c>
      <c r="K230" s="175" t="s">
        <v>698</v>
      </c>
      <c r="L230" s="66"/>
      <c r="M230" s="8"/>
      <c r="N230" s="270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1033145.82</v>
      </c>
      <c r="I233" s="18">
        <v>0</v>
      </c>
      <c r="J233" s="18">
        <v>0</v>
      </c>
      <c r="K233" s="18">
        <v>0</v>
      </c>
      <c r="L233" s="19">
        <f>SUM(F233:K233)</f>
        <v>1033145.82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0</v>
      </c>
      <c r="G234" s="18">
        <v>0</v>
      </c>
      <c r="H234" s="18">
        <v>193535.53</v>
      </c>
      <c r="I234" s="18">
        <v>0</v>
      </c>
      <c r="J234" s="18">
        <v>0</v>
      </c>
      <c r="K234" s="18">
        <v>0</v>
      </c>
      <c r="L234" s="19">
        <f>SUM(F234:K234)</f>
        <v>193535.53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61690.43287625417</v>
      </c>
      <c r="I244" s="18">
        <v>0</v>
      </c>
      <c r="J244" s="18">
        <v>0</v>
      </c>
      <c r="K244" s="18">
        <v>0</v>
      </c>
      <c r="L244" s="19">
        <f t="shared" si="4"/>
        <v>61690.43287625417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1288371.7828762541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1288371.7828762541</v>
      </c>
      <c r="M247" s="8"/>
      <c r="N247" s="270"/>
    </row>
    <row r="248" spans="1:14" s="3" customFormat="1" ht="12" customHeight="1" x14ac:dyDescent="0.15">
      <c r="A248" s="69"/>
      <c r="B248" s="36"/>
      <c r="C248" s="37"/>
      <c r="D248" s="37"/>
      <c r="E248" s="37"/>
      <c r="F248" s="175" t="s">
        <v>693</v>
      </c>
      <c r="G248" s="175" t="s">
        <v>694</v>
      </c>
      <c r="H248" s="175" t="s">
        <v>695</v>
      </c>
      <c r="I248" s="175" t="s">
        <v>696</v>
      </c>
      <c r="J248" s="175" t="s">
        <v>697</v>
      </c>
      <c r="K248" s="175" t="s">
        <v>698</v>
      </c>
      <c r="L248" s="66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1646749.46</v>
      </c>
      <c r="G257" s="41">
        <f t="shared" si="8"/>
        <v>714053.11999999988</v>
      </c>
      <c r="H257" s="41">
        <f t="shared" si="8"/>
        <v>2642542.16</v>
      </c>
      <c r="I257" s="41">
        <f t="shared" si="8"/>
        <v>117707.15999999999</v>
      </c>
      <c r="J257" s="41">
        <f t="shared" si="8"/>
        <v>45501.539999999994</v>
      </c>
      <c r="K257" s="41">
        <f t="shared" si="8"/>
        <v>5137.3</v>
      </c>
      <c r="L257" s="41">
        <f t="shared" si="8"/>
        <v>5171690.74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68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8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12000</v>
      </c>
      <c r="L263" s="19">
        <f>SUM(F263:K263)</f>
        <v>12000</v>
      </c>
      <c r="N263" s="268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68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68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68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8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8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68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12000</v>
      </c>
      <c r="L270" s="41">
        <f t="shared" si="9"/>
        <v>12000</v>
      </c>
      <c r="N270" s="268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1646749.46</v>
      </c>
      <c r="G271" s="42">
        <f t="shared" si="11"/>
        <v>714053.11999999988</v>
      </c>
      <c r="H271" s="42">
        <f t="shared" si="11"/>
        <v>2642542.16</v>
      </c>
      <c r="I271" s="42">
        <f t="shared" si="11"/>
        <v>117707.15999999999</v>
      </c>
      <c r="J271" s="42">
        <f t="shared" si="11"/>
        <v>45501.539999999994</v>
      </c>
      <c r="K271" s="42">
        <f t="shared" si="11"/>
        <v>17137.3</v>
      </c>
      <c r="L271" s="42">
        <f t="shared" si="11"/>
        <v>5183690.74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5" t="s">
        <v>693</v>
      </c>
      <c r="G273" s="175" t="s">
        <v>694</v>
      </c>
      <c r="H273" s="175" t="s">
        <v>695</v>
      </c>
      <c r="I273" s="175" t="s">
        <v>696</v>
      </c>
      <c r="J273" s="175" t="s">
        <v>697</v>
      </c>
      <c r="K273" s="175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10000+5600+1000</f>
        <v>16600</v>
      </c>
      <c r="G276" s="18">
        <f>428.41+565.11+76.5+9929.21</f>
        <v>10999.23</v>
      </c>
      <c r="H276" s="18">
        <v>0</v>
      </c>
      <c r="I276" s="18">
        <v>0</v>
      </c>
      <c r="J276" s="18">
        <v>0</v>
      </c>
      <c r="K276" s="18">
        <v>285.27</v>
      </c>
      <c r="L276" s="19">
        <f>SUM(F276:K276)</f>
        <v>27884.5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16613.8</f>
        <v>16613.8</v>
      </c>
      <c r="G277" s="18">
        <f>1270.96+1789.41</f>
        <v>3060.37</v>
      </c>
      <c r="H277" s="18">
        <v>432</v>
      </c>
      <c r="I277" s="18">
        <f>1269.76+925</f>
        <v>2194.7600000000002</v>
      </c>
      <c r="J277" s="18">
        <f>854.98+340.88</f>
        <v>1195.8600000000001</v>
      </c>
      <c r="K277" s="18">
        <v>0</v>
      </c>
      <c r="L277" s="19">
        <f>SUM(F277:K277)</f>
        <v>23496.79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2975</v>
      </c>
      <c r="G279" s="18">
        <f>227.88+320.41</f>
        <v>548.29</v>
      </c>
      <c r="H279" s="18">
        <v>963.9</v>
      </c>
      <c r="I279" s="18">
        <v>0</v>
      </c>
      <c r="J279" s="18">
        <v>0</v>
      </c>
      <c r="K279" s="18">
        <v>0</v>
      </c>
      <c r="L279" s="19">
        <f>SUM(F279:K279)</f>
        <v>4487.1899999999996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1000</f>
        <v>1000</v>
      </c>
      <c r="G281" s="18">
        <f>76.5+70.8</f>
        <v>147.30000000000001</v>
      </c>
      <c r="H281" s="18">
        <f>1000+1798.99+115.02</f>
        <v>2914.0099999999998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4061.3099999999995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f>2942+762</f>
        <v>3704</v>
      </c>
      <c r="G285" s="18">
        <v>225</v>
      </c>
      <c r="H285" s="18">
        <v>0</v>
      </c>
      <c r="I285" s="18">
        <v>0</v>
      </c>
      <c r="J285" s="18">
        <v>0</v>
      </c>
      <c r="K285" s="18">
        <f>261.06+40.06+1166.08+601.58</f>
        <v>2068.7799999999997</v>
      </c>
      <c r="L285" s="19">
        <f t="shared" si="12"/>
        <v>5997.78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40892.800000000003</v>
      </c>
      <c r="G290" s="42">
        <f t="shared" si="13"/>
        <v>14980.189999999999</v>
      </c>
      <c r="H290" s="42">
        <f t="shared" si="13"/>
        <v>4309.91</v>
      </c>
      <c r="I290" s="42">
        <f t="shared" si="13"/>
        <v>2194.7600000000002</v>
      </c>
      <c r="J290" s="42">
        <f t="shared" si="13"/>
        <v>1195.8600000000001</v>
      </c>
      <c r="K290" s="42">
        <f t="shared" si="13"/>
        <v>2354.0499999999997</v>
      </c>
      <c r="L290" s="41">
        <f t="shared" si="13"/>
        <v>65927.570000000007</v>
      </c>
      <c r="M290" s="8"/>
      <c r="N290" s="270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5" t="s">
        <v>693</v>
      </c>
      <c r="G292" s="175" t="s">
        <v>694</v>
      </c>
      <c r="H292" s="175" t="s">
        <v>695</v>
      </c>
      <c r="I292" s="175" t="s">
        <v>696</v>
      </c>
      <c r="J292" s="175" t="s">
        <v>697</v>
      </c>
      <c r="K292" s="175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8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5" t="s">
        <v>693</v>
      </c>
      <c r="G311" s="175" t="s">
        <v>694</v>
      </c>
      <c r="H311" s="175" t="s">
        <v>695</v>
      </c>
      <c r="I311" s="175" t="s">
        <v>696</v>
      </c>
      <c r="J311" s="175" t="s">
        <v>697</v>
      </c>
      <c r="K311" s="175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5" t="s">
        <v>693</v>
      </c>
      <c r="G330" s="175" t="s">
        <v>694</v>
      </c>
      <c r="H330" s="175" t="s">
        <v>695</v>
      </c>
      <c r="I330" s="175" t="s">
        <v>696</v>
      </c>
      <c r="J330" s="175" t="s">
        <v>697</v>
      </c>
      <c r="K330" s="175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40892.800000000003</v>
      </c>
      <c r="G338" s="41">
        <f t="shared" si="20"/>
        <v>14980.189999999999</v>
      </c>
      <c r="H338" s="41">
        <f t="shared" si="20"/>
        <v>4309.91</v>
      </c>
      <c r="I338" s="41">
        <f t="shared" si="20"/>
        <v>2194.7600000000002</v>
      </c>
      <c r="J338" s="41">
        <f t="shared" si="20"/>
        <v>1195.8600000000001</v>
      </c>
      <c r="K338" s="41">
        <f t="shared" si="20"/>
        <v>2354.0499999999997</v>
      </c>
      <c r="L338" s="41">
        <f t="shared" si="20"/>
        <v>65927.570000000007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40892.800000000003</v>
      </c>
      <c r="G352" s="41">
        <f>G338</f>
        <v>14980.189999999999</v>
      </c>
      <c r="H352" s="41">
        <f>H338</f>
        <v>4309.91</v>
      </c>
      <c r="I352" s="41">
        <f>I338</f>
        <v>2194.7600000000002</v>
      </c>
      <c r="J352" s="41">
        <f>J338</f>
        <v>1195.8600000000001</v>
      </c>
      <c r="K352" s="47">
        <f>K338+K351</f>
        <v>2354.0499999999997</v>
      </c>
      <c r="L352" s="41">
        <f>L338+L351</f>
        <v>65927.570000000007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693</v>
      </c>
      <c r="G354" s="175" t="s">
        <v>694</v>
      </c>
      <c r="H354" s="175" t="s">
        <v>695</v>
      </c>
      <c r="I354" s="175" t="s">
        <v>696</v>
      </c>
      <c r="J354" s="175" t="s">
        <v>697</v>
      </c>
      <c r="K354" s="175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0</v>
      </c>
      <c r="G358" s="18">
        <v>0</v>
      </c>
      <c r="H358" s="18">
        <v>48304.480000000003</v>
      </c>
      <c r="I358" s="18">
        <v>0</v>
      </c>
      <c r="J358" s="18">
        <v>0</v>
      </c>
      <c r="K358" s="18">
        <v>0</v>
      </c>
      <c r="L358" s="13">
        <f>SUM(F358:K358)</f>
        <v>48304.480000000003</v>
      </c>
      <c r="N358" s="268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48304.480000000003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48304.480000000003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18">
        <v>0</v>
      </c>
      <c r="G368" s="18">
        <v>0</v>
      </c>
      <c r="H368" s="18">
        <v>0</v>
      </c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5" t="s">
        <v>693</v>
      </c>
      <c r="G371" s="175" t="s">
        <v>694</v>
      </c>
      <c r="H371" s="175" t="s">
        <v>695</v>
      </c>
      <c r="I371" s="175" t="s">
        <v>696</v>
      </c>
      <c r="J371" s="175" t="s">
        <v>697</v>
      </c>
      <c r="K371" s="175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70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f>5.51+1.67</f>
        <v>7.18</v>
      </c>
      <c r="I392" s="18">
        <v>0</v>
      </c>
      <c r="J392" s="24" t="s">
        <v>289</v>
      </c>
      <c r="K392" s="24" t="s">
        <v>289</v>
      </c>
      <c r="L392" s="56">
        <f t="shared" si="25"/>
        <v>7.18</v>
      </c>
      <c r="M392" s="8"/>
      <c r="N392" s="270"/>
    </row>
    <row r="393" spans="1:14" s="3" customFormat="1" ht="12" customHeight="1" thickTop="1" x14ac:dyDescent="0.15">
      <c r="A393" s="158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7.18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7.18</v>
      </c>
      <c r="M393" s="8"/>
      <c r="N393" s="270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58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0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09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58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7.18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7.18</v>
      </c>
      <c r="M408" s="8"/>
      <c r="N408" s="270"/>
    </row>
    <row r="409" spans="1:21" s="3" customFormat="1" ht="12" customHeight="1" x14ac:dyDescent="0.15">
      <c r="A409" s="77"/>
      <c r="B409" s="2"/>
      <c r="C409" s="6"/>
      <c r="D409" s="6"/>
      <c r="E409" s="6"/>
      <c r="F409" s="175" t="s">
        <v>693</v>
      </c>
      <c r="G409" s="175" t="s">
        <v>694</v>
      </c>
      <c r="H409" s="175" t="s">
        <v>695</v>
      </c>
      <c r="I409" s="175" t="s">
        <v>696</v>
      </c>
      <c r="J409" s="175" t="s">
        <v>697</v>
      </c>
      <c r="K409" s="175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40000</v>
      </c>
      <c r="L418" s="56">
        <f t="shared" si="27"/>
        <v>40000</v>
      </c>
      <c r="M418" s="8"/>
      <c r="N418" s="270"/>
    </row>
    <row r="419" spans="1:21" s="3" customFormat="1" ht="12" customHeight="1" thickTop="1" x14ac:dyDescent="0.15">
      <c r="A419" s="158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40000</v>
      </c>
      <c r="L419" s="47">
        <f t="shared" si="28"/>
        <v>40000</v>
      </c>
      <c r="M419" s="8"/>
      <c r="N419" s="270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0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58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5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5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7"/>
      <c r="N430" s="225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8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58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40000</v>
      </c>
      <c r="L434" s="47">
        <f t="shared" si="32"/>
        <v>40000</v>
      </c>
      <c r="M434" s="8"/>
      <c r="N434" s="270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58579.66</v>
      </c>
      <c r="G440" s="18">
        <v>0</v>
      </c>
      <c r="H440" s="18">
        <v>0</v>
      </c>
      <c r="I440" s="56">
        <f t="shared" si="33"/>
        <v>58579.66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58579.66</v>
      </c>
      <c r="G446" s="13">
        <f>SUM(G439:G445)</f>
        <v>0</v>
      </c>
      <c r="H446" s="13">
        <f>SUM(H439:H445)</f>
        <v>0</v>
      </c>
      <c r="I446" s="13">
        <f>SUM(I439:I445)</f>
        <v>58579.66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0</v>
      </c>
      <c r="G452" s="71">
        <f>SUM(G448:G451)</f>
        <v>0</v>
      </c>
      <c r="H452" s="71">
        <f>SUM(H448:H451)</f>
        <v>0</v>
      </c>
      <c r="I452" s="71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7"/>
      <c r="N457" s="225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F440</f>
        <v>58579.66</v>
      </c>
      <c r="G459" s="18">
        <v>0</v>
      </c>
      <c r="H459" s="18">
        <v>0</v>
      </c>
      <c r="I459" s="56">
        <f t="shared" si="34"/>
        <v>58579.66</v>
      </c>
      <c r="J459" s="24" t="s">
        <v>289</v>
      </c>
      <c r="K459" s="24" t="s">
        <v>289</v>
      </c>
      <c r="L459" s="24" t="s">
        <v>289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58579.66</v>
      </c>
      <c r="G460" s="82">
        <f>SUM(G454:G459)</f>
        <v>0</v>
      </c>
      <c r="H460" s="82">
        <f>SUM(H454:H459)</f>
        <v>0</v>
      </c>
      <c r="I460" s="82">
        <f>SUM(I454:I459)</f>
        <v>58579.66</v>
      </c>
      <c r="J460" s="24" t="s">
        <v>289</v>
      </c>
      <c r="K460" s="24" t="s">
        <v>289</v>
      </c>
      <c r="L460" s="24" t="s">
        <v>289</v>
      </c>
      <c r="N460" s="269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5" t="s">
        <v>433</v>
      </c>
      <c r="E461" s="81"/>
      <c r="F461" s="42">
        <f>F452+F460</f>
        <v>58579.66</v>
      </c>
      <c r="G461" s="42">
        <f>G452+G460</f>
        <v>0</v>
      </c>
      <c r="H461" s="42">
        <f>H452+H460</f>
        <v>0</v>
      </c>
      <c r="I461" s="42">
        <f>I452+I460</f>
        <v>58579.66</v>
      </c>
      <c r="J461" s="24" t="s">
        <v>289</v>
      </c>
      <c r="K461" s="24" t="s">
        <v>289</v>
      </c>
      <c r="L461" s="24" t="s">
        <v>289</v>
      </c>
      <c r="N461" s="269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9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9"/>
    </row>
    <row r="465" spans="1:14" s="52" customFormat="1" ht="12" customHeight="1" x14ac:dyDescent="0.2">
      <c r="A465" s="187" t="s">
        <v>891</v>
      </c>
      <c r="B465" s="104">
        <v>19</v>
      </c>
      <c r="C465" s="110">
        <v>1</v>
      </c>
      <c r="D465" s="2" t="s">
        <v>433</v>
      </c>
      <c r="E465" s="110"/>
      <c r="F465" s="18">
        <v>289390.81</v>
      </c>
      <c r="G465" s="18">
        <v>4719.1499999999996</v>
      </c>
      <c r="H465" s="18">
        <v>0</v>
      </c>
      <c r="I465" s="18"/>
      <c r="J465" s="18">
        <v>98572.479999999996</v>
      </c>
      <c r="K465" s="24" t="s">
        <v>289</v>
      </c>
      <c r="L465" s="24" t="s">
        <v>289</v>
      </c>
      <c r="N465" s="269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9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9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f>F193</f>
        <v>5204545.28</v>
      </c>
      <c r="G468" s="18">
        <f t="shared" ref="G468:J468" si="35">G193</f>
        <v>50451.06</v>
      </c>
      <c r="H468" s="18">
        <f t="shared" si="35"/>
        <v>65927.569999999992</v>
      </c>
      <c r="I468" s="18">
        <f t="shared" si="35"/>
        <v>0</v>
      </c>
      <c r="J468" s="18">
        <f t="shared" si="35"/>
        <v>7.18</v>
      </c>
      <c r="K468" s="24" t="s">
        <v>289</v>
      </c>
      <c r="L468" s="24" t="s">
        <v>289</v>
      </c>
      <c r="N468" s="269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69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5204545.28</v>
      </c>
      <c r="G470" s="53">
        <f>SUM(G468:G469)</f>
        <v>50451.06</v>
      </c>
      <c r="H470" s="53">
        <f>SUM(H468:H469)</f>
        <v>65927.569999999992</v>
      </c>
      <c r="I470" s="53">
        <f>SUM(I468:I469)</f>
        <v>0</v>
      </c>
      <c r="J470" s="53">
        <f>SUM(J468:J469)</f>
        <v>7.18</v>
      </c>
      <c r="K470" s="24" t="s">
        <v>289</v>
      </c>
      <c r="L470" s="24" t="s">
        <v>289</v>
      </c>
      <c r="N470" s="269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9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f>L271</f>
        <v>5183690.74</v>
      </c>
      <c r="G472" s="18">
        <f>L362</f>
        <v>48304.480000000003</v>
      </c>
      <c r="H472" s="18">
        <f>L352</f>
        <v>65927.570000000007</v>
      </c>
      <c r="I472" s="18">
        <v>0</v>
      </c>
      <c r="J472" s="18">
        <f>L434</f>
        <v>40000</v>
      </c>
      <c r="K472" s="24" t="s">
        <v>289</v>
      </c>
      <c r="L472" s="24" t="s">
        <v>289</v>
      </c>
      <c r="N472" s="269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69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5183690.74</v>
      </c>
      <c r="G474" s="53">
        <f>SUM(G472:G473)</f>
        <v>48304.480000000003</v>
      </c>
      <c r="H474" s="53">
        <f>SUM(H472:H473)</f>
        <v>65927.570000000007</v>
      </c>
      <c r="I474" s="53">
        <f>SUM(I472:I473)</f>
        <v>0</v>
      </c>
      <c r="J474" s="53">
        <f>SUM(J472:J473)</f>
        <v>40000</v>
      </c>
      <c r="K474" s="24" t="s">
        <v>289</v>
      </c>
      <c r="L474" s="24" t="s">
        <v>289</v>
      </c>
      <c r="N474" s="269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9"/>
    </row>
    <row r="476" spans="1:14" s="52" customFormat="1" ht="12" customHeight="1" x14ac:dyDescent="0.2">
      <c r="A476" s="188" t="s">
        <v>892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310245.34999999963</v>
      </c>
      <c r="G476" s="53">
        <f>(G465+G470)- G474</f>
        <v>6865.7299999999959</v>
      </c>
      <c r="H476" s="53">
        <f>(H465+H470)- H474</f>
        <v>0</v>
      </c>
      <c r="I476" s="53">
        <f>(I465+I470)- I474</f>
        <v>0</v>
      </c>
      <c r="J476" s="53">
        <f>(J465+J470)- J474</f>
        <v>58579.659999999989</v>
      </c>
      <c r="K476" s="24" t="s">
        <v>289</v>
      </c>
      <c r="L476" s="24" t="s">
        <v>289</v>
      </c>
      <c r="N476" s="269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9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9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9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69"/>
    </row>
    <row r="481" spans="1:14" s="52" customFormat="1" ht="12" customHeight="1" x14ac:dyDescent="0.2">
      <c r="A481" s="173"/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69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69"/>
    </row>
    <row r="483" spans="1:14" s="52" customFormat="1" ht="1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9"/>
    </row>
    <row r="484" spans="1:14" s="52" customFormat="1" ht="1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69"/>
    </row>
    <row r="485" spans="1:14" s="52" customFormat="1" ht="12" customHeight="1" x14ac:dyDescent="0.2">
      <c r="A485" s="172"/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69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9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9"/>
    </row>
    <row r="488" spans="1:14" s="52" customFormat="1" ht="12" customHeight="1" x14ac:dyDescent="0.2">
      <c r="A488" s="145" t="s">
        <v>893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69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69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52">
        <v>0</v>
      </c>
      <c r="G490" s="152">
        <v>1</v>
      </c>
      <c r="H490" s="152">
        <v>2</v>
      </c>
      <c r="I490" s="152">
        <v>3</v>
      </c>
      <c r="J490" s="152">
        <v>4</v>
      </c>
      <c r="K490" s="24" t="s">
        <v>289</v>
      </c>
      <c r="L490" s="24" t="s">
        <v>289</v>
      </c>
      <c r="N490" s="269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53" t="s">
        <v>911</v>
      </c>
      <c r="G491" s="153" t="s">
        <v>911</v>
      </c>
      <c r="H491" s="153" t="s">
        <v>911</v>
      </c>
      <c r="I491" s="153" t="s">
        <v>911</v>
      </c>
      <c r="J491" s="153" t="s">
        <v>911</v>
      </c>
      <c r="K491" s="24" t="s">
        <v>289</v>
      </c>
      <c r="L491" s="24" t="s">
        <v>289</v>
      </c>
      <c r="N491" s="269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53" t="s">
        <v>911</v>
      </c>
      <c r="G492" s="153" t="s">
        <v>911</v>
      </c>
      <c r="H492" s="153" t="s">
        <v>911</v>
      </c>
      <c r="I492" s="153" t="s">
        <v>911</v>
      </c>
      <c r="J492" s="153" t="s">
        <v>911</v>
      </c>
      <c r="K492" s="24" t="s">
        <v>289</v>
      </c>
      <c r="L492" s="24" t="s">
        <v>289</v>
      </c>
      <c r="N492" s="269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  <c r="N493" s="269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>
        <v>0</v>
      </c>
      <c r="G494" s="18">
        <v>0</v>
      </c>
      <c r="H494" s="18">
        <v>0</v>
      </c>
      <c r="I494" s="18">
        <v>0</v>
      </c>
      <c r="J494" s="18">
        <v>0</v>
      </c>
      <c r="K494" s="24" t="s">
        <v>289</v>
      </c>
      <c r="L494" s="24" t="s">
        <v>289</v>
      </c>
      <c r="N494" s="269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>SUM(F495:J495)</f>
        <v>0</v>
      </c>
      <c r="L495" s="24" t="s">
        <v>289</v>
      </c>
      <c r="N495" s="269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6">SUM(F496:J496)</f>
        <v>0</v>
      </c>
      <c r="L496" s="24" t="s">
        <v>289</v>
      </c>
      <c r="N496" s="269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53">
        <f t="shared" si="36"/>
        <v>0</v>
      </c>
      <c r="L497" s="24" t="s">
        <v>289</v>
      </c>
      <c r="N497" s="269"/>
    </row>
    <row r="498" spans="1:14" s="52" customFormat="1" ht="12" customHeight="1" x14ac:dyDescent="0.2">
      <c r="A498" s="198" t="s">
        <v>626</v>
      </c>
      <c r="B498" s="199">
        <v>20</v>
      </c>
      <c r="C498" s="200">
        <v>9</v>
      </c>
      <c r="D498" s="201" t="s">
        <v>433</v>
      </c>
      <c r="E498" s="200"/>
      <c r="F498" s="202">
        <v>0</v>
      </c>
      <c r="G498" s="202">
        <v>0</v>
      </c>
      <c r="H498" s="202">
        <v>0</v>
      </c>
      <c r="I498" s="202">
        <v>0</v>
      </c>
      <c r="J498" s="202">
        <v>0</v>
      </c>
      <c r="K498" s="203">
        <f t="shared" si="36"/>
        <v>0</v>
      </c>
      <c r="L498" s="204" t="s">
        <v>289</v>
      </c>
      <c r="N498" s="269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6"/>
        <v>0</v>
      </c>
      <c r="L499" s="24" t="s">
        <v>289</v>
      </c>
      <c r="N499" s="269"/>
    </row>
    <row r="500" spans="1:14" s="52" customFormat="1" ht="12" customHeight="1" thickTop="1" x14ac:dyDescent="0.2">
      <c r="A500" s="138" t="s">
        <v>628</v>
      </c>
      <c r="B500" s="44">
        <v>20</v>
      </c>
      <c r="C500" s="193">
        <v>11</v>
      </c>
      <c r="D500" s="39" t="s">
        <v>433</v>
      </c>
      <c r="E500" s="193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289</v>
      </c>
      <c r="N500" s="269"/>
    </row>
    <row r="501" spans="1:14" s="52" customFormat="1" ht="12" customHeight="1" x14ac:dyDescent="0.2">
      <c r="A501" s="198" t="s">
        <v>655</v>
      </c>
      <c r="B501" s="199">
        <v>20</v>
      </c>
      <c r="C501" s="200">
        <v>12</v>
      </c>
      <c r="D501" s="201" t="s">
        <v>433</v>
      </c>
      <c r="E501" s="200"/>
      <c r="F501" s="202">
        <v>0</v>
      </c>
      <c r="G501" s="202">
        <v>0</v>
      </c>
      <c r="H501" s="202">
        <v>0</v>
      </c>
      <c r="I501" s="202">
        <v>0</v>
      </c>
      <c r="J501" s="202">
        <v>0</v>
      </c>
      <c r="K501" s="203">
        <f t="shared" si="36"/>
        <v>0</v>
      </c>
      <c r="L501" s="204" t="s">
        <v>289</v>
      </c>
      <c r="N501" s="269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>
        <v>0</v>
      </c>
      <c r="G502" s="18">
        <v>0</v>
      </c>
      <c r="H502" s="18">
        <v>0</v>
      </c>
      <c r="I502" s="18">
        <v>0</v>
      </c>
      <c r="J502" s="18">
        <v>0</v>
      </c>
      <c r="K502" s="53">
        <f t="shared" si="36"/>
        <v>0</v>
      </c>
      <c r="L502" s="24" t="s">
        <v>289</v>
      </c>
      <c r="N502" s="269"/>
    </row>
    <row r="503" spans="1:14" s="52" customFormat="1" ht="12" customHeight="1" thickTop="1" x14ac:dyDescent="0.2">
      <c r="A503" s="138" t="s">
        <v>630</v>
      </c>
      <c r="B503" s="44">
        <v>20</v>
      </c>
      <c r="C503" s="193">
        <v>14</v>
      </c>
      <c r="D503" s="39" t="s">
        <v>433</v>
      </c>
      <c r="E503" s="193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289</v>
      </c>
      <c r="N503" s="269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9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9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69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43"/>
      <c r="G507" s="143"/>
      <c r="H507" s="143"/>
      <c r="I507" s="143"/>
      <c r="J507" s="24" t="s">
        <v>289</v>
      </c>
      <c r="K507" s="24" t="s">
        <v>289</v>
      </c>
      <c r="L507" s="24" t="s">
        <v>289</v>
      </c>
      <c r="N507" s="269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" customHeight="1" x14ac:dyDescent="0.2">
      <c r="A509" s="145" t="s">
        <v>894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9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9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69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69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69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69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69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>
        <v>0</v>
      </c>
      <c r="H516" s="24" t="s">
        <v>289</v>
      </c>
      <c r="I516" s="18">
        <v>0</v>
      </c>
      <c r="J516" s="24" t="s">
        <v>289</v>
      </c>
      <c r="K516" s="24" t="s">
        <v>289</v>
      </c>
      <c r="L516" s="24" t="s">
        <v>289</v>
      </c>
      <c r="N516" s="269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9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5" t="s">
        <v>693</v>
      </c>
      <c r="G518" s="175" t="s">
        <v>694</v>
      </c>
      <c r="H518" s="175" t="s">
        <v>695</v>
      </c>
      <c r="I518" s="175" t="s">
        <v>696</v>
      </c>
      <c r="J518" s="175" t="s">
        <v>697</v>
      </c>
      <c r="K518" s="175" t="s">
        <v>698</v>
      </c>
      <c r="L518" s="105"/>
      <c r="N518" s="269"/>
    </row>
    <row r="519" spans="1:14" s="52" customFormat="1" ht="12" customHeight="1" x14ac:dyDescent="0.2">
      <c r="A519" s="176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9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9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v>347611.30999999994</v>
      </c>
      <c r="G521" s="18">
        <v>116802.12</v>
      </c>
      <c r="H521" s="18">
        <v>68929.040000000008</v>
      </c>
      <c r="I521" s="18">
        <v>3432.61</v>
      </c>
      <c r="J521" s="18">
        <v>3584.25</v>
      </c>
      <c r="K521" s="18">
        <v>0</v>
      </c>
      <c r="L521" s="87">
        <f>SUM(F521:K521)</f>
        <v>540359.32999999996</v>
      </c>
      <c r="N521" s="269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>
        <v>0</v>
      </c>
      <c r="G522" s="18">
        <v>0</v>
      </c>
      <c r="H522" s="18">
        <v>32445.75</v>
      </c>
      <c r="I522" s="18">
        <v>0</v>
      </c>
      <c r="J522" s="18">
        <v>0</v>
      </c>
      <c r="K522" s="18">
        <v>0</v>
      </c>
      <c r="L522" s="87">
        <f>SUM(F522:K522)</f>
        <v>32445.75</v>
      </c>
      <c r="N522" s="269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v>0</v>
      </c>
      <c r="G523" s="18">
        <v>0</v>
      </c>
      <c r="H523" s="18">
        <v>193535.53</v>
      </c>
      <c r="I523" s="18">
        <v>0</v>
      </c>
      <c r="J523" s="18">
        <v>0</v>
      </c>
      <c r="K523" s="18">
        <v>0</v>
      </c>
      <c r="L523" s="87">
        <f>SUM(F523:K523)</f>
        <v>193535.53</v>
      </c>
      <c r="N523" s="269"/>
    </row>
    <row r="524" spans="1:14" s="52" customFormat="1" ht="12" customHeight="1" thickTop="1" x14ac:dyDescent="0.2">
      <c r="A524" s="138" t="s">
        <v>63</v>
      </c>
      <c r="B524" s="106">
        <v>21</v>
      </c>
      <c r="C524" s="193">
        <v>4</v>
      </c>
      <c r="D524" s="194" t="s">
        <v>433</v>
      </c>
      <c r="E524" s="193"/>
      <c r="F524" s="107">
        <f>SUM(F521:F523)</f>
        <v>347611.30999999994</v>
      </c>
      <c r="G524" s="107">
        <f t="shared" ref="G524:L524" si="37">SUM(G521:G523)</f>
        <v>116802.12</v>
      </c>
      <c r="H524" s="107">
        <f t="shared" si="37"/>
        <v>294910.32</v>
      </c>
      <c r="I524" s="107">
        <f t="shared" si="37"/>
        <v>3432.61</v>
      </c>
      <c r="J524" s="107">
        <f t="shared" si="37"/>
        <v>3584.25</v>
      </c>
      <c r="K524" s="107">
        <f t="shared" si="37"/>
        <v>0</v>
      </c>
      <c r="L524" s="88">
        <f t="shared" si="37"/>
        <v>766340.61</v>
      </c>
      <c r="N524" s="269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9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>
        <v>75885.8</v>
      </c>
      <c r="G526" s="18">
        <v>38105.65</v>
      </c>
      <c r="H526" s="18">
        <v>36410.490000000005</v>
      </c>
      <c r="I526" s="18">
        <f>1269.76+925</f>
        <v>2194.7600000000002</v>
      </c>
      <c r="J526" s="18">
        <f>854.98+340.88</f>
        <v>1195.8600000000001</v>
      </c>
      <c r="K526" s="18">
        <v>0</v>
      </c>
      <c r="L526" s="87">
        <f>SUM(F526:K526)</f>
        <v>153792.56</v>
      </c>
      <c r="M526" s="8"/>
      <c r="N526" s="270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7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7">
        <f>SUM(F528:K528)</f>
        <v>0</v>
      </c>
      <c r="M528" s="8"/>
      <c r="N528" s="270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6" t="s">
        <v>433</v>
      </c>
      <c r="E529" s="106"/>
      <c r="F529" s="88">
        <f>SUM(F526:F528)</f>
        <v>75885.8</v>
      </c>
      <c r="G529" s="88">
        <f t="shared" ref="G529:L529" si="38">SUM(G526:G528)</f>
        <v>38105.65</v>
      </c>
      <c r="H529" s="88">
        <f t="shared" si="38"/>
        <v>36410.490000000005</v>
      </c>
      <c r="I529" s="88">
        <f t="shared" si="38"/>
        <v>2194.7600000000002</v>
      </c>
      <c r="J529" s="88">
        <f t="shared" si="38"/>
        <v>1195.8600000000001</v>
      </c>
      <c r="K529" s="88">
        <f t="shared" si="38"/>
        <v>0</v>
      </c>
      <c r="L529" s="88">
        <f t="shared" si="38"/>
        <v>153792.56</v>
      </c>
      <c r="M529" s="8"/>
      <c r="N529" s="270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27119.050934996074</v>
      </c>
      <c r="G531" s="18">
        <v>13525.555672386918</v>
      </c>
      <c r="H531" s="18">
        <v>0</v>
      </c>
      <c r="I531" s="18">
        <v>79.550000000000011</v>
      </c>
      <c r="J531" s="18">
        <v>28.564</v>
      </c>
      <c r="K531" s="18">
        <v>0</v>
      </c>
      <c r="L531" s="87">
        <f>SUM(F531:K531)</f>
        <v>40752.720607382995</v>
      </c>
      <c r="M531" s="8"/>
      <c r="N531" s="270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7">
        <f>SUM(F533:K533)</f>
        <v>0</v>
      </c>
      <c r="M533" s="8"/>
      <c r="N533" s="270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6" t="s">
        <v>433</v>
      </c>
      <c r="E534" s="106"/>
      <c r="F534" s="88">
        <f>SUM(F531:F533)</f>
        <v>27119.050934996074</v>
      </c>
      <c r="G534" s="88">
        <f t="shared" ref="G534:L534" si="39">SUM(G531:G533)</f>
        <v>13525.555672386918</v>
      </c>
      <c r="H534" s="88">
        <f t="shared" si="39"/>
        <v>0</v>
      </c>
      <c r="I534" s="88">
        <f t="shared" si="39"/>
        <v>79.550000000000011</v>
      </c>
      <c r="J534" s="88">
        <f t="shared" si="39"/>
        <v>28.564</v>
      </c>
      <c r="K534" s="88">
        <f t="shared" si="39"/>
        <v>0</v>
      </c>
      <c r="L534" s="88">
        <f t="shared" si="39"/>
        <v>40752.720607382995</v>
      </c>
      <c r="M534" s="8"/>
      <c r="N534" s="270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2" t="s">
        <v>289</v>
      </c>
      <c r="G535" s="192" t="s">
        <v>289</v>
      </c>
      <c r="H535" s="192" t="s">
        <v>289</v>
      </c>
      <c r="I535" s="192" t="s">
        <v>289</v>
      </c>
      <c r="J535" s="192" t="s">
        <v>289</v>
      </c>
      <c r="K535" s="192" t="s">
        <v>289</v>
      </c>
      <c r="L535" s="192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>
        <v>0</v>
      </c>
      <c r="G536" s="18">
        <v>0</v>
      </c>
      <c r="H536" s="18">
        <v>1153</v>
      </c>
      <c r="I536" s="18">
        <v>0</v>
      </c>
      <c r="J536" s="18">
        <v>0</v>
      </c>
      <c r="K536" s="18">
        <v>0</v>
      </c>
      <c r="L536" s="87">
        <f>SUM(F536:K536)</f>
        <v>1153</v>
      </c>
      <c r="M536" s="8"/>
      <c r="N536" s="270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7">
        <f>SUM(F538:K538)</f>
        <v>0</v>
      </c>
      <c r="M538" s="8"/>
      <c r="N538" s="270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6" t="s">
        <v>433</v>
      </c>
      <c r="E539" s="106"/>
      <c r="F539" s="88">
        <f>SUM(F536:F538)</f>
        <v>0</v>
      </c>
      <c r="G539" s="88">
        <f t="shared" ref="G539:L539" si="40">SUM(G536:G538)</f>
        <v>0</v>
      </c>
      <c r="H539" s="88">
        <f t="shared" si="40"/>
        <v>1153</v>
      </c>
      <c r="I539" s="88">
        <f t="shared" si="40"/>
        <v>0</v>
      </c>
      <c r="J539" s="88">
        <f t="shared" si="40"/>
        <v>0</v>
      </c>
      <c r="K539" s="88">
        <f t="shared" si="40"/>
        <v>0</v>
      </c>
      <c r="L539" s="88">
        <f t="shared" si="40"/>
        <v>1153</v>
      </c>
      <c r="M539" s="8"/>
      <c r="N539" s="270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>
        <v>0</v>
      </c>
      <c r="G541" s="18">
        <v>0</v>
      </c>
      <c r="H541" s="18">
        <v>24983.225083612037</v>
      </c>
      <c r="I541" s="18">
        <v>0</v>
      </c>
      <c r="J541" s="18">
        <v>0</v>
      </c>
      <c r="K541" s="18">
        <v>0</v>
      </c>
      <c r="L541" s="87">
        <f>SUM(F541:K541)</f>
        <v>24983.225083612037</v>
      </c>
      <c r="M541" s="8"/>
      <c r="N541" s="270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>
        <v>0</v>
      </c>
      <c r="G542" s="18">
        <v>0</v>
      </c>
      <c r="H542" s="18">
        <v>6209.7033444816043</v>
      </c>
      <c r="I542" s="18">
        <v>0</v>
      </c>
      <c r="J542" s="18">
        <v>0</v>
      </c>
      <c r="K542" s="18">
        <v>0</v>
      </c>
      <c r="L542" s="87">
        <f>SUM(F542:K542)</f>
        <v>6209.7033444816043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>
        <v>0</v>
      </c>
      <c r="G543" s="18">
        <v>0</v>
      </c>
      <c r="H543" s="18">
        <v>11986.171571906354</v>
      </c>
      <c r="I543" s="18">
        <v>0</v>
      </c>
      <c r="J543" s="18">
        <v>0</v>
      </c>
      <c r="K543" s="18">
        <v>0</v>
      </c>
      <c r="L543" s="87">
        <f>SUM(F543:K543)</f>
        <v>11986.171571906354</v>
      </c>
      <c r="M543" s="8"/>
      <c r="N543" s="270"/>
    </row>
    <row r="544" spans="1:14" s="3" customFormat="1" ht="12" customHeight="1" thickTop="1" thickBot="1" x14ac:dyDescent="0.2">
      <c r="A544" s="129" t="s">
        <v>71</v>
      </c>
      <c r="B544" s="189">
        <v>21</v>
      </c>
      <c r="C544" s="189">
        <v>20</v>
      </c>
      <c r="D544" s="190" t="s">
        <v>433</v>
      </c>
      <c r="E544" s="189"/>
      <c r="F544" s="191">
        <f>SUM(F541:F543)</f>
        <v>0</v>
      </c>
      <c r="G544" s="191">
        <f t="shared" ref="G544:L544" si="41">SUM(G541:G543)</f>
        <v>0</v>
      </c>
      <c r="H544" s="191">
        <f t="shared" si="41"/>
        <v>43179.099999999991</v>
      </c>
      <c r="I544" s="191">
        <f t="shared" si="41"/>
        <v>0</v>
      </c>
      <c r="J544" s="191">
        <f t="shared" si="41"/>
        <v>0</v>
      </c>
      <c r="K544" s="191">
        <f t="shared" si="41"/>
        <v>0</v>
      </c>
      <c r="L544" s="191">
        <f t="shared" si="41"/>
        <v>43179.099999999991</v>
      </c>
      <c r="M544" s="8"/>
      <c r="N544" s="270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6" t="s">
        <v>433</v>
      </c>
      <c r="E545" s="106"/>
      <c r="F545" s="88">
        <f>F524+F529+F534+F539+F544</f>
        <v>450616.16093499598</v>
      </c>
      <c r="G545" s="88">
        <f t="shared" ref="G545:L545" si="42">G524+G529+G534+G539+G544</f>
        <v>168433.32567238691</v>
      </c>
      <c r="H545" s="88">
        <f t="shared" si="42"/>
        <v>375652.91</v>
      </c>
      <c r="I545" s="88">
        <f t="shared" si="42"/>
        <v>5706.920000000001</v>
      </c>
      <c r="J545" s="88">
        <f t="shared" si="42"/>
        <v>4808.6740000000009</v>
      </c>
      <c r="K545" s="88">
        <f t="shared" si="42"/>
        <v>0</v>
      </c>
      <c r="L545" s="88">
        <f t="shared" si="42"/>
        <v>1005217.9906073828</v>
      </c>
      <c r="M545" s="8"/>
      <c r="N545" s="270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0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540359.32999999996</v>
      </c>
      <c r="G549" s="86">
        <f>L526</f>
        <v>153792.56</v>
      </c>
      <c r="H549" s="86">
        <f>L531</f>
        <v>40752.720607382995</v>
      </c>
      <c r="I549" s="86">
        <f>L536</f>
        <v>1153</v>
      </c>
      <c r="J549" s="86">
        <f>L541</f>
        <v>24983.225083612037</v>
      </c>
      <c r="K549" s="86">
        <f>SUM(F549:J549)</f>
        <v>761040.83569099486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32445.75</v>
      </c>
      <c r="G550" s="86">
        <f>L527</f>
        <v>0</v>
      </c>
      <c r="H550" s="86">
        <f>L532</f>
        <v>0</v>
      </c>
      <c r="I550" s="86">
        <f>L537</f>
        <v>0</v>
      </c>
      <c r="J550" s="86">
        <f>L542</f>
        <v>6209.7033444816043</v>
      </c>
      <c r="K550" s="86">
        <f>SUM(F550:J550)</f>
        <v>38655.453344481604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193535.53</v>
      </c>
      <c r="G551" s="86">
        <f>L528</f>
        <v>0</v>
      </c>
      <c r="H551" s="86">
        <f>L533</f>
        <v>0</v>
      </c>
      <c r="I551" s="86">
        <f>L538</f>
        <v>0</v>
      </c>
      <c r="J551" s="86">
        <f>L543</f>
        <v>11986.171571906354</v>
      </c>
      <c r="K551" s="86">
        <f>SUM(F551:J551)</f>
        <v>205521.70157190636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0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3">SUM(F549:F551)</f>
        <v>766340.61</v>
      </c>
      <c r="G552" s="88">
        <f t="shared" si="43"/>
        <v>153792.56</v>
      </c>
      <c r="H552" s="88">
        <f t="shared" si="43"/>
        <v>40752.720607382995</v>
      </c>
      <c r="I552" s="88">
        <f t="shared" si="43"/>
        <v>1153</v>
      </c>
      <c r="J552" s="88">
        <f t="shared" si="43"/>
        <v>43179.099999999991</v>
      </c>
      <c r="K552" s="88">
        <f t="shared" si="43"/>
        <v>1005217.9906073828</v>
      </c>
      <c r="L552" s="24"/>
      <c r="M552" s="8"/>
      <c r="N552" s="270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0"/>
    </row>
    <row r="554" spans="1:14" s="3" customFormat="1" ht="12" customHeight="1" x14ac:dyDescent="0.15">
      <c r="B554" s="104"/>
      <c r="C554" s="114"/>
      <c r="D554" s="114"/>
      <c r="E554" s="114"/>
      <c r="F554" s="175" t="s">
        <v>693</v>
      </c>
      <c r="G554" s="175" t="s">
        <v>694</v>
      </c>
      <c r="H554" s="175" t="s">
        <v>695</v>
      </c>
      <c r="I554" s="175" t="s">
        <v>696</v>
      </c>
      <c r="J554" s="175" t="s">
        <v>697</v>
      </c>
      <c r="K554" s="175" t="s">
        <v>698</v>
      </c>
      <c r="L554" s="105"/>
      <c r="M554" s="8"/>
      <c r="N554" s="270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0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  <c r="N559" s="270"/>
    </row>
    <row r="560" spans="1:14" s="3" customFormat="1" ht="12" customHeight="1" thickTop="1" x14ac:dyDescent="0.15">
      <c r="A560" s="138" t="s">
        <v>63</v>
      </c>
      <c r="B560" s="106">
        <v>22</v>
      </c>
      <c r="C560" s="193">
        <v>4</v>
      </c>
      <c r="D560" s="194" t="s">
        <v>433</v>
      </c>
      <c r="E560" s="193"/>
      <c r="F560" s="107">
        <f t="shared" ref="F560:L560" si="44">SUM(F557:F559)</f>
        <v>0</v>
      </c>
      <c r="G560" s="107">
        <f t="shared" si="44"/>
        <v>0</v>
      </c>
      <c r="H560" s="107">
        <f t="shared" si="44"/>
        <v>0</v>
      </c>
      <c r="I560" s="107">
        <f t="shared" si="44"/>
        <v>0</v>
      </c>
      <c r="J560" s="107">
        <f t="shared" si="44"/>
        <v>0</v>
      </c>
      <c r="K560" s="107">
        <f t="shared" si="44"/>
        <v>0</v>
      </c>
      <c r="L560" s="88">
        <f t="shared" si="44"/>
        <v>0</v>
      </c>
      <c r="M560" s="8"/>
      <c r="N560" s="270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>
        <v>0</v>
      </c>
      <c r="G562" s="18">
        <v>0</v>
      </c>
      <c r="H562" s="18">
        <v>5544</v>
      </c>
      <c r="I562" s="18">
        <v>0</v>
      </c>
      <c r="J562" s="18">
        <v>0</v>
      </c>
      <c r="K562" s="18">
        <v>0</v>
      </c>
      <c r="L562" s="87">
        <f>SUM(F562:K562)</f>
        <v>5544</v>
      </c>
      <c r="M562" s="8"/>
      <c r="N562" s="270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7">
        <f>SUM(F564:K564)</f>
        <v>0</v>
      </c>
      <c r="M564" s="8"/>
      <c r="N564" s="270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4" t="s">
        <v>433</v>
      </c>
      <c r="E565" s="106"/>
      <c r="F565" s="88">
        <f t="shared" ref="F565:L565" si="45">SUM(F562:F564)</f>
        <v>0</v>
      </c>
      <c r="G565" s="88">
        <f t="shared" si="45"/>
        <v>0</v>
      </c>
      <c r="H565" s="88">
        <f t="shared" si="45"/>
        <v>5544</v>
      </c>
      <c r="I565" s="88">
        <f t="shared" si="45"/>
        <v>0</v>
      </c>
      <c r="J565" s="88">
        <f t="shared" si="45"/>
        <v>0</v>
      </c>
      <c r="K565" s="88">
        <f t="shared" si="45"/>
        <v>0</v>
      </c>
      <c r="L565" s="88">
        <f t="shared" si="45"/>
        <v>5544</v>
      </c>
      <c r="M565" s="8"/>
      <c r="N565" s="270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7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7">
        <f>SUM(F569:K569)</f>
        <v>0</v>
      </c>
      <c r="M569" s="8"/>
      <c r="N569" s="270"/>
    </row>
    <row r="570" spans="1:14" s="3" customFormat="1" ht="12" customHeight="1" thickTop="1" thickBot="1" x14ac:dyDescent="0.2">
      <c r="A570" s="129" t="s">
        <v>67</v>
      </c>
      <c r="B570" s="189">
        <v>22</v>
      </c>
      <c r="C570" s="189">
        <v>12</v>
      </c>
      <c r="D570" s="195" t="s">
        <v>433</v>
      </c>
      <c r="E570" s="189"/>
      <c r="F570" s="191">
        <f>SUM(F567:F569)</f>
        <v>0</v>
      </c>
      <c r="G570" s="191">
        <f t="shared" ref="G570:L570" si="46">SUM(G567:G569)</f>
        <v>0</v>
      </c>
      <c r="H570" s="191">
        <f t="shared" si="46"/>
        <v>0</v>
      </c>
      <c r="I570" s="191">
        <f t="shared" si="46"/>
        <v>0</v>
      </c>
      <c r="J570" s="191">
        <f t="shared" si="46"/>
        <v>0</v>
      </c>
      <c r="K570" s="191">
        <f t="shared" si="46"/>
        <v>0</v>
      </c>
      <c r="L570" s="191">
        <f t="shared" si="46"/>
        <v>0</v>
      </c>
      <c r="M570" s="8"/>
      <c r="N570" s="270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6" t="s">
        <v>433</v>
      </c>
      <c r="E571" s="106"/>
      <c r="F571" s="88">
        <f>F560+F565+F570</f>
        <v>0</v>
      </c>
      <c r="G571" s="88">
        <f t="shared" ref="G571:L571" si="47">G560+G565+G570</f>
        <v>0</v>
      </c>
      <c r="H571" s="88">
        <f t="shared" si="47"/>
        <v>5544</v>
      </c>
      <c r="I571" s="88">
        <f t="shared" si="47"/>
        <v>0</v>
      </c>
      <c r="J571" s="88">
        <f t="shared" si="47"/>
        <v>0</v>
      </c>
      <c r="K571" s="88">
        <f t="shared" si="47"/>
        <v>0</v>
      </c>
      <c r="L571" s="88">
        <f t="shared" si="47"/>
        <v>5544</v>
      </c>
      <c r="M571" s="8"/>
      <c r="N571" s="270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0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0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>
        <v>0</v>
      </c>
      <c r="G575" s="18">
        <v>491973.62</v>
      </c>
      <c r="H575" s="18">
        <v>1033145.82</v>
      </c>
      <c r="I575" s="86">
        <f>SUM(F575:H575)</f>
        <v>1525119.44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>
        <v>0</v>
      </c>
      <c r="I577" s="86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>
        <v>0</v>
      </c>
      <c r="G579" s="18">
        <v>0</v>
      </c>
      <c r="H579" s="18">
        <v>70176.759999999995</v>
      </c>
      <c r="I579" s="86">
        <f t="shared" si="48"/>
        <v>70176.759999999995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4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>
        <v>0</v>
      </c>
      <c r="I581" s="86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4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>
        <f>6709.63-386.5</f>
        <v>6323.13</v>
      </c>
      <c r="G582" s="18">
        <v>32445.75</v>
      </c>
      <c r="H582" s="18">
        <v>123358.77</v>
      </c>
      <c r="I582" s="86">
        <f t="shared" si="48"/>
        <v>162127.65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4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>
        <v>0</v>
      </c>
      <c r="G584" s="18">
        <v>0</v>
      </c>
      <c r="H584" s="18">
        <v>0</v>
      </c>
      <c r="I584" s="86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>
        <v>0</v>
      </c>
      <c r="I586" s="86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>
        <v>0</v>
      </c>
      <c r="G587" s="18">
        <v>0</v>
      </c>
      <c r="H587" s="18">
        <v>0</v>
      </c>
      <c r="I587" s="86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1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0"/>
    </row>
    <row r="589" spans="1:14" s="3" customFormat="1" ht="12" customHeight="1" x14ac:dyDescent="0.15">
      <c r="A589" s="145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0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0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v>102850.44826086955</v>
      </c>
      <c r="I591" s="18">
        <v>25750.400434782605</v>
      </c>
      <c r="J591" s="18">
        <v>49704.26130434782</v>
      </c>
      <c r="K591" s="103">
        <f t="shared" ref="K591:K597" si="49">SUM(H591:J591)</f>
        <v>178305.11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24983.225083612037</v>
      </c>
      <c r="I592" s="18">
        <v>6209.7033444816043</v>
      </c>
      <c r="J592" s="18">
        <v>11986.171571906354</v>
      </c>
      <c r="K592" s="103">
        <f t="shared" si="49"/>
        <v>43179.099999999991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0</v>
      </c>
      <c r="K593" s="103">
        <f t="shared" si="49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>
        <v>750</v>
      </c>
      <c r="I594" s="18">
        <v>0</v>
      </c>
      <c r="J594" s="18">
        <v>0</v>
      </c>
      <c r="K594" s="103">
        <f t="shared" si="49"/>
        <v>750</v>
      </c>
      <c r="L594" s="24" t="s">
        <v>289</v>
      </c>
      <c r="M594" s="8"/>
      <c r="N594" s="270"/>
    </row>
    <row r="595" spans="1:14" s="3" customFormat="1" ht="12" customHeight="1" x14ac:dyDescent="0.15">
      <c r="A595" s="169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>
        <v>0</v>
      </c>
      <c r="I595" s="18">
        <v>0</v>
      </c>
      <c r="J595" s="18">
        <v>0</v>
      </c>
      <c r="K595" s="103">
        <f t="shared" si="49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9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>
        <v>0</v>
      </c>
      <c r="I597" s="18">
        <v>0</v>
      </c>
      <c r="J597" s="18">
        <v>0</v>
      </c>
      <c r="K597" s="103">
        <f t="shared" si="49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6">
        <v>2700</v>
      </c>
      <c r="G598" s="147" t="s">
        <v>97</v>
      </c>
      <c r="H598" s="107">
        <f>SUM(H591:H597)</f>
        <v>128583.67334448159</v>
      </c>
      <c r="I598" s="107">
        <f>SUM(I591:I597)</f>
        <v>31960.103779264209</v>
      </c>
      <c r="J598" s="107">
        <f>SUM(J591:J597)</f>
        <v>61690.43287625417</v>
      </c>
      <c r="K598" s="107">
        <f>SUM(K591:K597)</f>
        <v>222234.20999999996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0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0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0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f>J211+J352</f>
        <v>46697.399999999994</v>
      </c>
      <c r="I604" s="18">
        <v>0</v>
      </c>
      <c r="J604" s="18">
        <v>0</v>
      </c>
      <c r="K604" s="103">
        <f>SUM(H604:J604)</f>
        <v>46697.399999999994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7" t="s">
        <v>477</v>
      </c>
      <c r="G605" s="146">
        <v>700</v>
      </c>
      <c r="H605" s="107">
        <f>SUM(H602:H604)</f>
        <v>46697.399999999994</v>
      </c>
      <c r="I605" s="107">
        <f>SUM(I602:I604)</f>
        <v>0</v>
      </c>
      <c r="J605" s="107">
        <f>SUM(J602:J604)</f>
        <v>0</v>
      </c>
      <c r="K605" s="107">
        <f>SUM(K602:K604)</f>
        <v>46697.399999999994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0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0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0"/>
    </row>
    <row r="609" spans="1:14" s="3" customFormat="1" ht="12" customHeight="1" x14ac:dyDescent="0.15">
      <c r="B609" s="104"/>
      <c r="C609" s="104"/>
      <c r="D609" s="104"/>
      <c r="E609" s="104"/>
      <c r="F609" s="175" t="s">
        <v>693</v>
      </c>
      <c r="G609" s="175" t="s">
        <v>694</v>
      </c>
      <c r="H609" s="175" t="s">
        <v>695</v>
      </c>
      <c r="I609" s="175" t="s">
        <v>696</v>
      </c>
      <c r="J609" s="175" t="s">
        <v>697</v>
      </c>
      <c r="K609" s="175" t="s">
        <v>698</v>
      </c>
      <c r="L609" s="87"/>
      <c r="M609" s="8"/>
      <c r="N609" s="270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/>
      <c r="G611" s="18"/>
      <c r="H611" s="18"/>
      <c r="I611" s="18"/>
      <c r="J611" s="18"/>
      <c r="K611" s="18"/>
      <c r="L611" s="87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/>
      <c r="G612" s="18"/>
      <c r="H612" s="18"/>
      <c r="I612" s="18"/>
      <c r="J612" s="18"/>
      <c r="K612" s="18"/>
      <c r="L612" s="87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/>
      <c r="G613" s="18"/>
      <c r="H613" s="18"/>
      <c r="I613" s="18"/>
      <c r="J613" s="18"/>
      <c r="K613" s="18"/>
      <c r="L613" s="87">
        <f>SUM(F613:K613)</f>
        <v>0</v>
      </c>
      <c r="M613" s="8"/>
      <c r="N613" s="270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50">SUM(F611:F613)</f>
        <v>0</v>
      </c>
      <c r="G614" s="107">
        <f t="shared" si="50"/>
        <v>0</v>
      </c>
      <c r="H614" s="107">
        <f t="shared" si="50"/>
        <v>0</v>
      </c>
      <c r="I614" s="107">
        <f t="shared" si="50"/>
        <v>0</v>
      </c>
      <c r="J614" s="107">
        <f t="shared" si="50"/>
        <v>0</v>
      </c>
      <c r="K614" s="107">
        <f t="shared" si="50"/>
        <v>0</v>
      </c>
      <c r="L614" s="88">
        <f t="shared" si="50"/>
        <v>0</v>
      </c>
      <c r="M614" s="8"/>
      <c r="N614" s="270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868764.73</v>
      </c>
      <c r="H617" s="108">
        <f>SUM(F52)</f>
        <v>868764.73</v>
      </c>
      <c r="I617" s="120" t="s">
        <v>900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114765.36</v>
      </c>
      <c r="H618" s="108">
        <f>SUM(G52)</f>
        <v>114765.36000000002</v>
      </c>
      <c r="I618" s="120" t="s">
        <v>901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200199.87</v>
      </c>
      <c r="H619" s="108">
        <f>SUM(H52)</f>
        <v>200199.87</v>
      </c>
      <c r="I619" s="120" t="s">
        <v>902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0</v>
      </c>
      <c r="H620" s="108">
        <f>SUM(I52)</f>
        <v>0</v>
      </c>
      <c r="I620" s="120" t="s">
        <v>903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58579.66</v>
      </c>
      <c r="H621" s="108">
        <f>SUM(J52)</f>
        <v>58579.66</v>
      </c>
      <c r="I621" s="120" t="s">
        <v>904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310245.34999999998</v>
      </c>
      <c r="H622" s="108">
        <f>F476</f>
        <v>310245.34999999963</v>
      </c>
      <c r="I622" s="120" t="s">
        <v>101</v>
      </c>
      <c r="J622" s="108">
        <f t="shared" ref="J622:J655" si="51">G622-H622</f>
        <v>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6865.73</v>
      </c>
      <c r="H623" s="108">
        <f>G476</f>
        <v>6865.7299999999959</v>
      </c>
      <c r="I623" s="120" t="s">
        <v>102</v>
      </c>
      <c r="J623" s="108">
        <f t="shared" si="51"/>
        <v>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0</v>
      </c>
      <c r="H624" s="108">
        <f>H476</f>
        <v>0</v>
      </c>
      <c r="I624" s="120" t="s">
        <v>103</v>
      </c>
      <c r="J624" s="108">
        <f t="shared" si="51"/>
        <v>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51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58579.66</v>
      </c>
      <c r="H626" s="108">
        <f>J476</f>
        <v>58579.659999999989</v>
      </c>
      <c r="I626" s="139" t="s">
        <v>105</v>
      </c>
      <c r="J626" s="108">
        <f t="shared" si="51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5204545.28</v>
      </c>
      <c r="H627" s="103">
        <f>SUM(F468)</f>
        <v>5204545.28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50451.06</v>
      </c>
      <c r="H628" s="103">
        <f>SUM(G468)</f>
        <v>50451.06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65927.569999999992</v>
      </c>
      <c r="H629" s="103">
        <f>SUM(H468)</f>
        <v>65927.569999999992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0</v>
      </c>
      <c r="H630" s="103">
        <f>SUM(I468)</f>
        <v>0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7.18</v>
      </c>
      <c r="H631" s="103">
        <f>SUM(J468)</f>
        <v>7.18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5183690.74</v>
      </c>
      <c r="H632" s="103">
        <f>SUM(F472)</f>
        <v>5183690.74</v>
      </c>
      <c r="I632" s="139" t="s">
        <v>111</v>
      </c>
      <c r="J632" s="108">
        <f t="shared" si="51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65927.570000000007</v>
      </c>
      <c r="H633" s="103">
        <f>SUM(H472)</f>
        <v>65927.570000000007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0</v>
      </c>
      <c r="H634" s="103">
        <f>I369</f>
        <v>0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7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48304.480000000003</v>
      </c>
      <c r="H635" s="103">
        <f>SUM(G472)</f>
        <v>48304.480000000003</v>
      </c>
      <c r="I635" s="139" t="s">
        <v>114</v>
      </c>
      <c r="J635" s="108">
        <f t="shared" si="51"/>
        <v>0</v>
      </c>
      <c r="K635" s="84"/>
      <c r="L635" s="87"/>
      <c r="M635" s="166"/>
    </row>
    <row r="636" spans="1:13" s="167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0</v>
      </c>
      <c r="H636" s="103">
        <f>SUM(I472)</f>
        <v>0</v>
      </c>
      <c r="I636" s="139" t="s">
        <v>116</v>
      </c>
      <c r="J636" s="108">
        <f t="shared" si="51"/>
        <v>0</v>
      </c>
      <c r="K636" s="84"/>
      <c r="L636" s="87"/>
      <c r="M636" s="166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478</v>
      </c>
      <c r="G637" s="149">
        <f>SUM(L408)</f>
        <v>7.18</v>
      </c>
      <c r="H637" s="162">
        <f>SUM(J468)</f>
        <v>7.18</v>
      </c>
      <c r="I637" s="163" t="s">
        <v>110</v>
      </c>
      <c r="J637" s="149">
        <f t="shared" si="51"/>
        <v>0</v>
      </c>
      <c r="K637" s="164"/>
      <c r="L637" s="165"/>
      <c r="M637" s="8"/>
    </row>
    <row r="638" spans="1:13" s="3" customFormat="1" ht="12" customHeight="1" x14ac:dyDescent="0.15">
      <c r="A638" s="159"/>
      <c r="B638" s="160"/>
      <c r="C638" s="160"/>
      <c r="D638" s="160"/>
      <c r="E638" s="160"/>
      <c r="F638" s="161" t="s">
        <v>479</v>
      </c>
      <c r="G638" s="149">
        <f>SUM(L434)</f>
        <v>40000</v>
      </c>
      <c r="H638" s="162">
        <f>SUM(J472)</f>
        <v>40000</v>
      </c>
      <c r="I638" s="163" t="s">
        <v>117</v>
      </c>
      <c r="J638" s="149">
        <f t="shared" si="51"/>
        <v>0</v>
      </c>
      <c r="K638" s="164"/>
      <c r="L638" s="165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58579.66</v>
      </c>
      <c r="H639" s="103">
        <f>SUM(F461)</f>
        <v>58579.66</v>
      </c>
      <c r="I639" s="139" t="s">
        <v>857</v>
      </c>
      <c r="J639" s="108">
        <f t="shared" si="51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858</v>
      </c>
      <c r="J640" s="108">
        <f t="shared" si="51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859</v>
      </c>
      <c r="J641" s="108">
        <f t="shared" si="51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58579.66</v>
      </c>
      <c r="H642" s="103">
        <f>SUM(I461)</f>
        <v>58579.66</v>
      </c>
      <c r="I642" s="139" t="s">
        <v>860</v>
      </c>
      <c r="J642" s="108">
        <f t="shared" si="51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51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7.18</v>
      </c>
      <c r="H644" s="103">
        <f>H408</f>
        <v>7.18</v>
      </c>
      <c r="I644" s="139" t="s">
        <v>481</v>
      </c>
      <c r="J644" s="108">
        <f t="shared" si="51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0</v>
      </c>
      <c r="H645" s="103">
        <f>G408</f>
        <v>0</v>
      </c>
      <c r="I645" s="139" t="s">
        <v>482</v>
      </c>
      <c r="J645" s="108">
        <f t="shared" si="51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7.18</v>
      </c>
      <c r="H646" s="103">
        <f>L408</f>
        <v>7.18</v>
      </c>
      <c r="I646" s="139" t="s">
        <v>478</v>
      </c>
      <c r="J646" s="108">
        <f t="shared" si="51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222234.20999999996</v>
      </c>
      <c r="H647" s="103">
        <f>L208+L226+L244</f>
        <v>222234.20999999996</v>
      </c>
      <c r="I647" s="139" t="s">
        <v>397</v>
      </c>
      <c r="J647" s="108">
        <f t="shared" si="51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46697.399999999994</v>
      </c>
      <c r="H648" s="103">
        <f>(J257+J338)-(J255+J336)</f>
        <v>46697.399999999994</v>
      </c>
      <c r="I648" s="139" t="s">
        <v>703</v>
      </c>
      <c r="J648" s="108">
        <f t="shared" si="51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128583.67334448159</v>
      </c>
      <c r="H649" s="103">
        <f>H598</f>
        <v>128583.67334448159</v>
      </c>
      <c r="I649" s="139" t="s">
        <v>389</v>
      </c>
      <c r="J649" s="108">
        <f t="shared" si="51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31960.103779264209</v>
      </c>
      <c r="H650" s="103">
        <f>I598</f>
        <v>31960.103779264209</v>
      </c>
      <c r="I650" s="139" t="s">
        <v>390</v>
      </c>
      <c r="J650" s="108">
        <f t="shared" si="51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61690.43287625417</v>
      </c>
      <c r="H651" s="103">
        <f>J598</f>
        <v>61690.43287625417</v>
      </c>
      <c r="I651" s="139" t="s">
        <v>391</v>
      </c>
      <c r="J651" s="108">
        <f t="shared" si="51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12000</v>
      </c>
      <c r="H652" s="103">
        <f>K263+K345</f>
        <v>12000</v>
      </c>
      <c r="I652" s="139" t="s">
        <v>398</v>
      </c>
      <c r="J652" s="108">
        <f t="shared" si="51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51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0</v>
      </c>
      <c r="H654" s="103">
        <f>K265+K346</f>
        <v>0</v>
      </c>
      <c r="I654" s="139" t="s">
        <v>400</v>
      </c>
      <c r="J654" s="108">
        <f t="shared" si="51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0</v>
      </c>
      <c r="H655" s="103">
        <f>K266+K347</f>
        <v>0</v>
      </c>
      <c r="I655" s="139" t="s">
        <v>401</v>
      </c>
      <c r="J655" s="108">
        <f t="shared" si="51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3441171.5333444816</v>
      </c>
      <c r="G660" s="19">
        <f>(L229+L309+L359)</f>
        <v>556379.47377926426</v>
      </c>
      <c r="H660" s="19">
        <f>(L247+L328+L360)</f>
        <v>1288371.7828762541</v>
      </c>
      <c r="I660" s="19">
        <f>SUM(F660:H660)</f>
        <v>5285922.79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20580.819999999996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20580.819999999996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128583.67334448159</v>
      </c>
      <c r="G662" s="19">
        <f>(L226+L306)-(J226+J306)</f>
        <v>31960.103779264209</v>
      </c>
      <c r="H662" s="19">
        <f>(L244+L325)-(J244+J325)</f>
        <v>61690.43287625417</v>
      </c>
      <c r="I662" s="19">
        <f>SUM(F662:H662)</f>
        <v>222234.20999999996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53020.529999999992</v>
      </c>
      <c r="G663" s="197">
        <f>SUM(G575:G587)+SUM(I602:I604)+L612</f>
        <v>524419.37</v>
      </c>
      <c r="H663" s="197">
        <f>SUM(H575:H587)+SUM(J602:J604)+L613</f>
        <v>1226681.3499999999</v>
      </c>
      <c r="I663" s="19">
        <f>SUM(F663:H663)</f>
        <v>1804121.25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3238986.51</v>
      </c>
      <c r="G664" s="19">
        <f>G660-SUM(G661:G663)</f>
        <v>0</v>
      </c>
      <c r="H664" s="19">
        <f>H660-SUM(H661:H663)</f>
        <v>0</v>
      </c>
      <c r="I664" s="19">
        <f>I660-SUM(I661:I663)</f>
        <v>3238986.51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5">
        <v>176.29</v>
      </c>
      <c r="G665" s="246"/>
      <c r="H665" s="246"/>
      <c r="I665" s="19">
        <f>SUM(F665:H665)</f>
        <v>176.29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18373.060000000001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18373.060000000001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18373.060000000001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18373.060000000001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20"/>
  </sheetPr>
  <dimension ref="A1:C52"/>
  <sheetViews>
    <sheetView topLeftCell="A16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785</v>
      </c>
      <c r="B1" s="230" t="str">
        <f>'DOE25'!A2</f>
        <v>Rollinsford</v>
      </c>
      <c r="C1" s="236" t="s">
        <v>839</v>
      </c>
    </row>
    <row r="2" spans="1:3" x14ac:dyDescent="0.2">
      <c r="A2" s="231"/>
      <c r="B2" s="230"/>
    </row>
    <row r="3" spans="1:3" x14ac:dyDescent="0.2">
      <c r="A3" s="275" t="s">
        <v>784</v>
      </c>
      <c r="B3" s="275"/>
      <c r="C3" s="275"/>
    </row>
    <row r="4" spans="1:3" x14ac:dyDescent="0.2">
      <c r="A4" s="234"/>
      <c r="B4" s="235" t="str">
        <f>'DOE25'!H1</f>
        <v>DOE 25  2013-2014</v>
      </c>
      <c r="C4" s="234"/>
    </row>
    <row r="5" spans="1:3" x14ac:dyDescent="0.2">
      <c r="A5" s="231"/>
      <c r="B5" s="230"/>
    </row>
    <row r="6" spans="1:3" x14ac:dyDescent="0.2">
      <c r="A6" s="225"/>
      <c r="B6" s="274" t="s">
        <v>783</v>
      </c>
      <c r="C6" s="274"/>
    </row>
    <row r="7" spans="1:3" x14ac:dyDescent="0.2">
      <c r="A7" s="237" t="s">
        <v>786</v>
      </c>
      <c r="B7" s="272" t="s">
        <v>782</v>
      </c>
      <c r="C7" s="273"/>
    </row>
    <row r="8" spans="1:3" x14ac:dyDescent="0.2">
      <c r="B8" s="226" t="s">
        <v>54</v>
      </c>
      <c r="C8" s="226" t="s">
        <v>776</v>
      </c>
    </row>
    <row r="9" spans="1:3" x14ac:dyDescent="0.2">
      <c r="A9" s="33" t="s">
        <v>777</v>
      </c>
      <c r="B9" s="227">
        <f>'DOE25'!F197+'DOE25'!F215+'DOE25'!F233+'DOE25'!F276+'DOE25'!F295+'DOE25'!F314</f>
        <v>906322.08</v>
      </c>
      <c r="C9" s="227">
        <f>'DOE25'!G197+'DOE25'!G215+'DOE25'!G233+'DOE25'!G276+'DOE25'!G295+'DOE25'!G314</f>
        <v>421698.07999999996</v>
      </c>
    </row>
    <row r="10" spans="1:3" x14ac:dyDescent="0.2">
      <c r="A10" t="s">
        <v>779</v>
      </c>
      <c r="B10" s="238">
        <f>725626+19581+72827.48+10000+5600+1000</f>
        <v>834634.48</v>
      </c>
      <c r="C10" s="238">
        <f>213336.47+4253.88+1609.44+664.62-365.28+53072.79+1497.95+91096.54+5571.32+10327.81+428.41+565.11+76.5+9929.21</f>
        <v>392064.76999999996</v>
      </c>
    </row>
    <row r="11" spans="1:3" x14ac:dyDescent="0.2">
      <c r="A11" t="s">
        <v>780</v>
      </c>
      <c r="B11" s="238">
        <f>39764.6</f>
        <v>39764.6</v>
      </c>
      <c r="C11" s="238">
        <f>3041.86+2093.74</f>
        <v>5135.6000000000004</v>
      </c>
    </row>
    <row r="12" spans="1:3" x14ac:dyDescent="0.2">
      <c r="A12" t="s">
        <v>781</v>
      </c>
      <c r="B12" s="238">
        <f>31923</f>
        <v>31923</v>
      </c>
      <c r="C12" s="238">
        <f>2442.4+11436.75+20.39+10598.17</f>
        <v>24497.71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906322.08</v>
      </c>
      <c r="C13" s="229">
        <f>SUM(C10:C12)</f>
        <v>421698.07999999996</v>
      </c>
    </row>
    <row r="14" spans="1:3" x14ac:dyDescent="0.2">
      <c r="B14" s="228"/>
      <c r="C14" s="228"/>
    </row>
    <row r="15" spans="1:3" x14ac:dyDescent="0.2">
      <c r="B15" s="274" t="s">
        <v>783</v>
      </c>
      <c r="C15" s="274"/>
    </row>
    <row r="16" spans="1:3" x14ac:dyDescent="0.2">
      <c r="A16" s="237" t="s">
        <v>787</v>
      </c>
      <c r="B16" s="272" t="s">
        <v>707</v>
      </c>
      <c r="C16" s="273"/>
    </row>
    <row r="17" spans="1:3" x14ac:dyDescent="0.2">
      <c r="B17" s="226" t="s">
        <v>54</v>
      </c>
      <c r="C17" s="226" t="s">
        <v>776</v>
      </c>
    </row>
    <row r="18" spans="1:3" x14ac:dyDescent="0.2">
      <c r="A18" s="33" t="s">
        <v>777</v>
      </c>
      <c r="B18" s="227">
        <f>'DOE25'!F198+'DOE25'!F216+'DOE25'!F234+'DOE25'!F277+'DOE25'!F296+'DOE25'!F315</f>
        <v>364225.11</v>
      </c>
      <c r="C18" s="227">
        <f>'DOE25'!G198+'DOE25'!G216+'DOE25'!G234+'DOE25'!G277+'DOE25'!G296+'DOE25'!G315</f>
        <v>119862.48999999999</v>
      </c>
    </row>
    <row r="19" spans="1:3" x14ac:dyDescent="0.2">
      <c r="A19" t="s">
        <v>779</v>
      </c>
      <c r="B19" s="238">
        <f>135516+16613.8</f>
        <v>152129.79999999999</v>
      </c>
      <c r="C19" s="238">
        <f>49198.92+777.6+304.64+136.5+923.58+9715.02+19189.05+1270.96+1789.41</f>
        <v>83305.680000000008</v>
      </c>
    </row>
    <row r="20" spans="1:3" x14ac:dyDescent="0.2">
      <c r="A20" t="s">
        <v>780</v>
      </c>
      <c r="B20" s="238">
        <f>20297.86+175204.46+16592.99</f>
        <v>212095.31</v>
      </c>
      <c r="C20" s="238">
        <f>1552.94+13402.98+1269.49+1202.92+17341.56+1786.92</f>
        <v>36556.81</v>
      </c>
    </row>
    <row r="21" spans="1:3" x14ac:dyDescent="0.2">
      <c r="A21" t="s">
        <v>781</v>
      </c>
      <c r="B21" s="238">
        <v>0</v>
      </c>
      <c r="C21" s="238">
        <v>0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364225.11</v>
      </c>
      <c r="C22" s="229">
        <f>SUM(C19:C21)</f>
        <v>119862.49</v>
      </c>
    </row>
    <row r="23" spans="1:3" x14ac:dyDescent="0.2">
      <c r="B23" s="228"/>
      <c r="C23" s="228"/>
    </row>
    <row r="24" spans="1:3" x14ac:dyDescent="0.2">
      <c r="B24" s="274" t="s">
        <v>783</v>
      </c>
      <c r="C24" s="274"/>
    </row>
    <row r="25" spans="1:3" x14ac:dyDescent="0.2">
      <c r="A25" s="237" t="s">
        <v>788</v>
      </c>
      <c r="B25" s="272" t="s">
        <v>708</v>
      </c>
      <c r="C25" s="273"/>
    </row>
    <row r="26" spans="1:3" x14ac:dyDescent="0.2">
      <c r="B26" s="226" t="s">
        <v>54</v>
      </c>
      <c r="C26" s="226" t="s">
        <v>776</v>
      </c>
    </row>
    <row r="27" spans="1:3" x14ac:dyDescent="0.2">
      <c r="A27" s="33" t="s">
        <v>777</v>
      </c>
      <c r="B27" s="232">
        <f>'DOE25'!F199+'DOE25'!F217+'DOE25'!F235+'DOE25'!F278+'DOE25'!F297+'DOE25'!F316</f>
        <v>0</v>
      </c>
      <c r="C27" s="232">
        <f>'DOE25'!G199+'DOE25'!G217+'DOE25'!G235+'DOE25'!G278+'DOE25'!G297+'DOE25'!G316</f>
        <v>0</v>
      </c>
    </row>
    <row r="28" spans="1:3" x14ac:dyDescent="0.2">
      <c r="A28" t="s">
        <v>779</v>
      </c>
      <c r="B28" s="238">
        <v>0</v>
      </c>
      <c r="C28" s="238">
        <v>0</v>
      </c>
    </row>
    <row r="29" spans="1:3" x14ac:dyDescent="0.2">
      <c r="A29" t="s">
        <v>780</v>
      </c>
      <c r="B29" s="238">
        <v>0</v>
      </c>
      <c r="C29" s="238">
        <v>0</v>
      </c>
    </row>
    <row r="30" spans="1:3" x14ac:dyDescent="0.2">
      <c r="A30" t="s">
        <v>781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0</v>
      </c>
      <c r="C31" s="229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7" t="s">
        <v>789</v>
      </c>
      <c r="B34" s="272" t="s">
        <v>709</v>
      </c>
      <c r="C34" s="273"/>
    </row>
    <row r="35" spans="1:3" x14ac:dyDescent="0.2">
      <c r="B35" s="226" t="s">
        <v>54</v>
      </c>
      <c r="C35" s="226" t="s">
        <v>776</v>
      </c>
    </row>
    <row r="36" spans="1:3" x14ac:dyDescent="0.2">
      <c r="A36" s="33" t="s">
        <v>777</v>
      </c>
      <c r="B36" s="233">
        <f>'DOE25'!F200+'DOE25'!F218+'DOE25'!F236+'DOE25'!F279+'DOE25'!F298+'DOE25'!F317</f>
        <v>4735</v>
      </c>
      <c r="C36" s="233">
        <f>'DOE25'!G200+'DOE25'!G218+'DOE25'!G236+'DOE25'!G279+'DOE25'!G298+'DOE25'!G317</f>
        <v>932.15</v>
      </c>
    </row>
    <row r="37" spans="1:3" x14ac:dyDescent="0.2">
      <c r="A37" t="s">
        <v>779</v>
      </c>
      <c r="B37" s="238">
        <f>1760+2975</f>
        <v>4735</v>
      </c>
      <c r="C37" s="238">
        <f>134.64+249.22+227.88+320.41</f>
        <v>932.15000000000009</v>
      </c>
    </row>
    <row r="38" spans="1:3" x14ac:dyDescent="0.2">
      <c r="A38" t="s">
        <v>780</v>
      </c>
      <c r="B38" s="238">
        <v>0</v>
      </c>
      <c r="C38" s="238">
        <v>0</v>
      </c>
    </row>
    <row r="39" spans="1:3" x14ac:dyDescent="0.2">
      <c r="A39" t="s">
        <v>781</v>
      </c>
      <c r="B39" s="238">
        <v>0</v>
      </c>
      <c r="C39" s="238">
        <v>0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4735</v>
      </c>
      <c r="C40" s="229">
        <f>SUM(C37:C39)</f>
        <v>932.15000000000009</v>
      </c>
    </row>
    <row r="41" spans="1:3" x14ac:dyDescent="0.2">
      <c r="B41" s="228"/>
      <c r="C41" s="228"/>
    </row>
    <row r="42" spans="1:3" x14ac:dyDescent="0.2">
      <c r="A42" s="33" t="s">
        <v>837</v>
      </c>
      <c r="B42" s="228"/>
      <c r="C42" s="228"/>
    </row>
    <row r="43" spans="1:3" x14ac:dyDescent="0.2">
      <c r="A43" t="s">
        <v>841</v>
      </c>
      <c r="B43" s="228"/>
      <c r="C43" s="228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2" t="s">
        <v>778</v>
      </c>
    </row>
    <row r="49" spans="1:1" x14ac:dyDescent="0.2">
      <c r="A49" s="266" t="s">
        <v>844</v>
      </c>
    </row>
    <row r="50" spans="1:1" x14ac:dyDescent="0.2">
      <c r="A50" s="266" t="s">
        <v>838</v>
      </c>
    </row>
    <row r="51" spans="1:1" x14ac:dyDescent="0.2">
      <c r="A51" s="266" t="s">
        <v>845</v>
      </c>
    </row>
    <row r="52" spans="1:1" x14ac:dyDescent="0.2">
      <c r="A52" s="267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F35" sqref="F3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79"/>
    </row>
    <row r="2" spans="1:9" x14ac:dyDescent="0.2">
      <c r="A2" s="33" t="s">
        <v>717</v>
      </c>
      <c r="B2" s="263" t="str">
        <f>'DOE25'!A2</f>
        <v>Rollinsford</v>
      </c>
      <c r="C2" s="179"/>
      <c r="D2" s="179" t="s">
        <v>792</v>
      </c>
      <c r="E2" s="179" t="s">
        <v>794</v>
      </c>
      <c r="F2" s="276" t="s">
        <v>821</v>
      </c>
      <c r="G2" s="277"/>
      <c r="H2" s="278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793</v>
      </c>
      <c r="E3" s="179" t="s">
        <v>795</v>
      </c>
      <c r="F3" s="239" t="s">
        <v>835</v>
      </c>
      <c r="G3" s="215" t="s">
        <v>59</v>
      </c>
      <c r="H3" s="240" t="s">
        <v>798</v>
      </c>
    </row>
    <row r="4" spans="1:9" x14ac:dyDescent="0.2">
      <c r="A4" s="249" t="s">
        <v>800</v>
      </c>
      <c r="B4" s="249" t="s">
        <v>816</v>
      </c>
      <c r="C4" s="249" t="s">
        <v>791</v>
      </c>
      <c r="D4" s="249" t="s">
        <v>817</v>
      </c>
      <c r="E4" s="249" t="s">
        <v>817</v>
      </c>
      <c r="F4" s="248" t="s">
        <v>797</v>
      </c>
      <c r="G4" s="249" t="s">
        <v>811</v>
      </c>
      <c r="H4" s="250" t="s">
        <v>799</v>
      </c>
    </row>
    <row r="5" spans="1:9" x14ac:dyDescent="0.2">
      <c r="A5" s="32">
        <v>1000</v>
      </c>
      <c r="B5" t="s">
        <v>195</v>
      </c>
      <c r="C5" s="243">
        <f t="shared" ref="C5:C19" si="0">SUM(D5:H5)</f>
        <v>3689391.59</v>
      </c>
      <c r="D5" s="20">
        <f>SUM('DOE25'!L197:L200)+SUM('DOE25'!L215:L218)+SUM('DOE25'!L233:L236)-F5-G5</f>
        <v>3649135.1399999997</v>
      </c>
      <c r="E5" s="241"/>
      <c r="F5" s="253">
        <f>SUM('DOE25'!J197:J200)+SUM('DOE25'!J215:J218)+SUM('DOE25'!J233:J236)</f>
        <v>40256.449999999997</v>
      </c>
      <c r="G5" s="53">
        <f>SUM('DOE25'!K197:K200)+SUM('DOE25'!K215:K218)+SUM('DOE25'!K233:K236)</f>
        <v>0</v>
      </c>
      <c r="H5" s="257"/>
    </row>
    <row r="6" spans="1:9" x14ac:dyDescent="0.2">
      <c r="A6" s="32">
        <v>2100</v>
      </c>
      <c r="B6" t="s">
        <v>801</v>
      </c>
      <c r="C6" s="243">
        <f t="shared" si="0"/>
        <v>309084.71999999997</v>
      </c>
      <c r="D6" s="20">
        <f>'DOE25'!L202+'DOE25'!L220+'DOE25'!L238-F6-G6</f>
        <v>308799.07999999996</v>
      </c>
      <c r="E6" s="241"/>
      <c r="F6" s="253">
        <f>'DOE25'!J202+'DOE25'!J220+'DOE25'!J238</f>
        <v>285.64</v>
      </c>
      <c r="G6" s="53">
        <f>'DOE25'!K202+'DOE25'!K220+'DOE25'!K238</f>
        <v>0</v>
      </c>
      <c r="H6" s="257"/>
    </row>
    <row r="7" spans="1:9" x14ac:dyDescent="0.2">
      <c r="A7" s="32">
        <v>2200</v>
      </c>
      <c r="B7" t="s">
        <v>834</v>
      </c>
      <c r="C7" s="243">
        <f t="shared" si="0"/>
        <v>58732.979999999996</v>
      </c>
      <c r="D7" s="20">
        <f>'DOE25'!L203+'DOE25'!L221+'DOE25'!L239-F7-G7</f>
        <v>53848.979999999996</v>
      </c>
      <c r="E7" s="241"/>
      <c r="F7" s="253">
        <f>'DOE25'!J203+'DOE25'!J221+'DOE25'!J239</f>
        <v>2756</v>
      </c>
      <c r="G7" s="53">
        <f>'DOE25'!K203+'DOE25'!K221+'DOE25'!K239</f>
        <v>2128</v>
      </c>
      <c r="H7" s="257"/>
    </row>
    <row r="8" spans="1:9" x14ac:dyDescent="0.2">
      <c r="A8" s="32">
        <v>2300</v>
      </c>
      <c r="B8" t="s">
        <v>802</v>
      </c>
      <c r="C8" s="243">
        <f t="shared" si="0"/>
        <v>131973.39722397976</v>
      </c>
      <c r="D8" s="241"/>
      <c r="E8" s="20">
        <f>'DOE25'!L204+'DOE25'!L222+'DOE25'!L240-F8-G8-D9-D11</f>
        <v>128964.09722397977</v>
      </c>
      <c r="F8" s="253">
        <f>'DOE25'!J204+'DOE25'!J222+'DOE25'!J240</f>
        <v>0</v>
      </c>
      <c r="G8" s="53">
        <f>'DOE25'!K204+'DOE25'!K222+'DOE25'!K240</f>
        <v>3009.3</v>
      </c>
      <c r="H8" s="257"/>
    </row>
    <row r="9" spans="1:9" x14ac:dyDescent="0.2">
      <c r="A9" s="32">
        <v>2310</v>
      </c>
      <c r="B9" t="s">
        <v>818</v>
      </c>
      <c r="C9" s="243">
        <f t="shared" si="0"/>
        <v>230581.93</v>
      </c>
      <c r="D9" s="242">
        <f>3009.3+193488.47+2842.16+30+12050+18009+1153</f>
        <v>230581.93</v>
      </c>
      <c r="E9" s="241"/>
      <c r="F9" s="256"/>
      <c r="G9" s="254"/>
      <c r="H9" s="257"/>
    </row>
    <row r="10" spans="1:9" x14ac:dyDescent="0.2">
      <c r="A10" s="32">
        <v>2317</v>
      </c>
      <c r="B10" t="s">
        <v>819</v>
      </c>
      <c r="C10" s="243">
        <f t="shared" si="0"/>
        <v>12050</v>
      </c>
      <c r="D10" s="241"/>
      <c r="E10" s="242">
        <v>12050</v>
      </c>
      <c r="F10" s="256"/>
      <c r="G10" s="254"/>
      <c r="H10" s="257"/>
    </row>
    <row r="11" spans="1:9" x14ac:dyDescent="0.2">
      <c r="A11" s="32">
        <v>2321</v>
      </c>
      <c r="B11" t="s">
        <v>831</v>
      </c>
      <c r="C11" s="243">
        <f t="shared" si="0"/>
        <v>53099.602776020234</v>
      </c>
      <c r="D11" s="242">
        <v>53099.602776020234</v>
      </c>
      <c r="E11" s="241"/>
      <c r="F11" s="256"/>
      <c r="G11" s="254"/>
      <c r="H11" s="257"/>
    </row>
    <row r="12" spans="1:9" x14ac:dyDescent="0.2">
      <c r="A12" s="32">
        <v>2400</v>
      </c>
      <c r="B12" t="s">
        <v>715</v>
      </c>
      <c r="C12" s="243">
        <f t="shared" si="0"/>
        <v>155503.44</v>
      </c>
      <c r="D12" s="20">
        <f>'DOE25'!L205+'DOE25'!L223+'DOE25'!L241-F12-G12</f>
        <v>155503.44</v>
      </c>
      <c r="E12" s="241"/>
      <c r="F12" s="253">
        <f>'DOE25'!J205+'DOE25'!J223+'DOE25'!J241</f>
        <v>0</v>
      </c>
      <c r="G12" s="53">
        <f>'DOE25'!K205+'DOE25'!K223+'DOE25'!K241</f>
        <v>0</v>
      </c>
      <c r="H12" s="257"/>
    </row>
    <row r="13" spans="1:9" x14ac:dyDescent="0.2">
      <c r="A13" s="32">
        <v>2500</v>
      </c>
      <c r="B13" t="s">
        <v>803</v>
      </c>
      <c r="C13" s="243">
        <f t="shared" si="0"/>
        <v>0</v>
      </c>
      <c r="D13" s="241"/>
      <c r="E13" s="20">
        <f>'DOE25'!L206+'DOE25'!L224+'DOE25'!L242-F13-G13</f>
        <v>0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832</v>
      </c>
      <c r="C14" s="243">
        <f t="shared" si="0"/>
        <v>321088.87000000005</v>
      </c>
      <c r="D14" s="20">
        <f>'DOE25'!L207+'DOE25'!L225+'DOE25'!L243-F14-G14</f>
        <v>318885.42000000004</v>
      </c>
      <c r="E14" s="241"/>
      <c r="F14" s="253">
        <f>'DOE25'!J207+'DOE25'!J225+'DOE25'!J243</f>
        <v>2203.4499999999998</v>
      </c>
      <c r="G14" s="53">
        <f>'DOE25'!K207+'DOE25'!K225+'DOE25'!K243</f>
        <v>0</v>
      </c>
      <c r="H14" s="257"/>
    </row>
    <row r="15" spans="1:9" x14ac:dyDescent="0.2">
      <c r="A15" s="32">
        <v>2700</v>
      </c>
      <c r="B15" t="s">
        <v>804</v>
      </c>
      <c r="C15" s="243">
        <f t="shared" si="0"/>
        <v>222234.20999999996</v>
      </c>
      <c r="D15" s="20">
        <f>'DOE25'!L208+'DOE25'!L226+'DOE25'!L244-F15-G15</f>
        <v>222234.20999999996</v>
      </c>
      <c r="E15" s="241"/>
      <c r="F15" s="253">
        <f>'DOE25'!J208+'DOE25'!J226+'DOE25'!J244</f>
        <v>0</v>
      </c>
      <c r="G15" s="53">
        <f>'DOE25'!K208+'DOE25'!K226+'DOE25'!K244</f>
        <v>0</v>
      </c>
      <c r="H15" s="257"/>
    </row>
    <row r="16" spans="1:9" x14ac:dyDescent="0.2">
      <c r="A16" s="32">
        <v>2800</v>
      </c>
      <c r="B16" t="s">
        <v>805</v>
      </c>
      <c r="C16" s="243">
        <f t="shared" si="0"/>
        <v>0</v>
      </c>
      <c r="D16" s="241"/>
      <c r="E16" s="20">
        <f>'DOE25'!L209+'DOE25'!L227+'DOE25'!L245-F16-G16</f>
        <v>0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806</v>
      </c>
      <c r="C17" s="243">
        <f t="shared" si="0"/>
        <v>0</v>
      </c>
      <c r="D17" s="20">
        <f>'DOE25'!L251-F17-G17</f>
        <v>0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807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808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796</v>
      </c>
      <c r="F21" s="258"/>
      <c r="G21" s="52"/>
      <c r="H21" s="259"/>
    </row>
    <row r="22" spans="1:8" x14ac:dyDescent="0.2">
      <c r="A22" s="32">
        <v>4000</v>
      </c>
      <c r="B22" t="s">
        <v>833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464</v>
      </c>
      <c r="F24" s="258"/>
      <c r="G24" s="52"/>
      <c r="H24" s="259"/>
    </row>
    <row r="25" spans="1:8" x14ac:dyDescent="0.2">
      <c r="A25" s="32" t="s">
        <v>809</v>
      </c>
      <c r="B25" t="s">
        <v>810</v>
      </c>
      <c r="C25" s="243">
        <f>SUM(D25:H25)</f>
        <v>0</v>
      </c>
      <c r="D25" s="241"/>
      <c r="E25" s="241"/>
      <c r="F25" s="256"/>
      <c r="G25" s="254"/>
      <c r="H25" s="255">
        <f>'DOE25'!L260+'DOE25'!L261+'DOE25'!L341+'DOE25'!L342</f>
        <v>0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812</v>
      </c>
      <c r="F27" s="258"/>
      <c r="G27" s="52"/>
      <c r="H27" s="259"/>
    </row>
    <row r="28" spans="1:8" x14ac:dyDescent="0.2">
      <c r="A28" s="32">
        <v>3100</v>
      </c>
      <c r="B28" t="s">
        <v>825</v>
      </c>
      <c r="F28" s="258"/>
      <c r="G28" s="52"/>
      <c r="H28" s="259"/>
    </row>
    <row r="29" spans="1:8" x14ac:dyDescent="0.2">
      <c r="A29" s="32"/>
      <c r="B29" t="s">
        <v>813</v>
      </c>
      <c r="C29" s="243">
        <f>SUM(D29:H29)</f>
        <v>48304.480000000003</v>
      </c>
      <c r="D29" s="20">
        <f>'DOE25'!L358+'DOE25'!L359+'DOE25'!L360-'DOE25'!I367-F29-G29</f>
        <v>48304.480000000003</v>
      </c>
      <c r="E29" s="241"/>
      <c r="F29" s="253">
        <f>'DOE25'!J358+'DOE25'!J359+'DOE25'!J360</f>
        <v>0</v>
      </c>
      <c r="G29" s="53">
        <f>'DOE25'!K358+'DOE25'!K359+'DOE25'!K360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827</v>
      </c>
      <c r="B31" t="s">
        <v>826</v>
      </c>
      <c r="C31" s="243">
        <f>SUM(D31:H31)</f>
        <v>65927.570000000007</v>
      </c>
      <c r="D31" s="20">
        <f>'DOE25'!L290+'DOE25'!L309+'DOE25'!L328+'DOE25'!L333+'DOE25'!L334+'DOE25'!L335-F31-G31</f>
        <v>62377.66</v>
      </c>
      <c r="E31" s="241"/>
      <c r="F31" s="253">
        <f>'DOE25'!J290+'DOE25'!J309+'DOE25'!J328+'DOE25'!J333+'DOE25'!J334+'DOE25'!J335</f>
        <v>1195.8600000000001</v>
      </c>
      <c r="G31" s="53">
        <f>'DOE25'!K290+'DOE25'!K309+'DOE25'!K328+'DOE25'!K333+'DOE25'!K334+'DOE25'!K335</f>
        <v>2354.0499999999997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814</v>
      </c>
      <c r="D33" s="244">
        <f>SUM(D5:D31)</f>
        <v>5102769.9427760206</v>
      </c>
      <c r="E33" s="244">
        <f>SUM(E5:E31)</f>
        <v>141014.09722397977</v>
      </c>
      <c r="F33" s="244">
        <f>SUM(F5:F31)</f>
        <v>46697.399999999994</v>
      </c>
      <c r="G33" s="244">
        <f>SUM(G5:G31)</f>
        <v>7491.35</v>
      </c>
      <c r="H33" s="244">
        <f>SUM(H5:H31)</f>
        <v>0</v>
      </c>
    </row>
    <row r="35" spans="2:8" ht="12" thickBot="1" x14ac:dyDescent="0.25">
      <c r="B35" s="251" t="s">
        <v>847</v>
      </c>
      <c r="D35" s="252">
        <f>E33</f>
        <v>141014.09722397977</v>
      </c>
      <c r="E35" s="247"/>
    </row>
    <row r="36" spans="2:8" ht="12" thickTop="1" x14ac:dyDescent="0.2">
      <c r="B36" t="s">
        <v>815</v>
      </c>
      <c r="D36" s="20">
        <f>D33</f>
        <v>5102769.9427760206</v>
      </c>
    </row>
    <row r="38" spans="2:8" x14ac:dyDescent="0.2">
      <c r="B38" s="185" t="s">
        <v>895</v>
      </c>
      <c r="C38" s="264"/>
      <c r="D38" s="265"/>
    </row>
    <row r="39" spans="2:8" x14ac:dyDescent="0.2">
      <c r="B39" t="s">
        <v>824</v>
      </c>
      <c r="D39" s="179" t="str">
        <f>IF(E10&gt;0,"Y","N")</f>
        <v>Y</v>
      </c>
    </row>
    <row r="41" spans="2:8" x14ac:dyDescent="0.2">
      <c r="B41" s="262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tabSelected="1"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Rollinsford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514888.64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1009.9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58579.66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330293.5</v>
      </c>
      <c r="D11" s="94">
        <f>'DOE25'!G12</f>
        <v>105364.7</v>
      </c>
      <c r="E11" s="94">
        <f>'DOE25'!H12</f>
        <v>187504.72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22572.69</v>
      </c>
      <c r="D12" s="94">
        <f>'DOE25'!G13</f>
        <v>9400.66</v>
      </c>
      <c r="E12" s="94">
        <f>'DOE25'!H13</f>
        <v>12695.15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0</v>
      </c>
      <c r="D13" s="94">
        <f>'DOE25'!G14</f>
        <v>0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868764.73</v>
      </c>
      <c r="D18" s="41">
        <f>SUM(D8:D17)</f>
        <v>114765.36</v>
      </c>
      <c r="E18" s="41">
        <f>SUM(E8:E17)</f>
        <v>200199.87</v>
      </c>
      <c r="F18" s="41">
        <f>SUM(F8:F17)</f>
        <v>0</v>
      </c>
      <c r="G18" s="41">
        <f>SUM(G8:G17)</f>
        <v>58579.66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318778.88</v>
      </c>
      <c r="D21" s="94">
        <f>'DOE25'!G22</f>
        <v>106303.06000000001</v>
      </c>
      <c r="E21" s="94">
        <f>'DOE25'!H22</f>
        <v>199269.77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930.1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239740.5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1596.57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558519.38</v>
      </c>
      <c r="D31" s="41">
        <f>SUM(D21:D30)</f>
        <v>107899.63000000002</v>
      </c>
      <c r="E31" s="41">
        <f>SUM(E21:E30)</f>
        <v>200199.87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100000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905</v>
      </c>
      <c r="B45" s="6"/>
      <c r="C45" s="94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906</v>
      </c>
      <c r="B47" s="6">
        <v>760</v>
      </c>
      <c r="C47" s="94">
        <f>'DOE25'!F48</f>
        <v>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58579.66</v>
      </c>
      <c r="H47" s="123"/>
      <c r="I47" s="123"/>
    </row>
    <row r="48" spans="1:9" x14ac:dyDescent="0.2">
      <c r="A48" s="1" t="s">
        <v>907</v>
      </c>
      <c r="B48" s="6">
        <v>753</v>
      </c>
      <c r="C48" s="94">
        <f>'DOE25'!F49</f>
        <v>0</v>
      </c>
      <c r="D48" s="94">
        <f>'DOE25'!G49</f>
        <v>6865.73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908</v>
      </c>
      <c r="B49" s="70">
        <v>770</v>
      </c>
      <c r="C49" s="94">
        <f>'DOE25'!F50</f>
        <v>210245.34999999998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909</v>
      </c>
      <c r="B50" s="48"/>
      <c r="C50" s="41">
        <f>SUM(C34:C49)</f>
        <v>310245.34999999998</v>
      </c>
      <c r="D50" s="41">
        <f>SUM(D34:D49)</f>
        <v>6865.73</v>
      </c>
      <c r="E50" s="41">
        <f>SUM(E34:E49)</f>
        <v>0</v>
      </c>
      <c r="F50" s="41">
        <f>SUM(F34:F49)</f>
        <v>0</v>
      </c>
      <c r="G50" s="41">
        <f>SUM(G34:G49)</f>
        <v>58579.66</v>
      </c>
      <c r="H50" s="123"/>
      <c r="I50" s="123"/>
    </row>
    <row r="51" spans="1:9" ht="12" thickTop="1" x14ac:dyDescent="0.2">
      <c r="A51" s="38" t="s">
        <v>910</v>
      </c>
      <c r="B51" s="2"/>
      <c r="C51" s="41">
        <f>C50+C31</f>
        <v>868764.73</v>
      </c>
      <c r="D51" s="41">
        <f>D50+D31</f>
        <v>114765.36000000002</v>
      </c>
      <c r="E51" s="41">
        <f>E50+E31</f>
        <v>200199.87</v>
      </c>
      <c r="F51" s="41">
        <f>F50+F31</f>
        <v>0</v>
      </c>
      <c r="G51" s="41">
        <f>G50+G31</f>
        <v>58579.66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3922888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0</v>
      </c>
      <c r="D57" s="24" t="s">
        <v>289</v>
      </c>
      <c r="E57" s="94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289</v>
      </c>
      <c r="E58" s="94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95.92</v>
      </c>
      <c r="D59" s="94">
        <f>'DOE25'!G96</f>
        <v>0</v>
      </c>
      <c r="E59" s="94">
        <f>'DOE25'!H96</f>
        <v>0</v>
      </c>
      <c r="F59" s="94">
        <f>'DOE25'!I96</f>
        <v>0</v>
      </c>
      <c r="G59" s="94">
        <f>'DOE25'!J96</f>
        <v>7.18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20580.819999999996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4858.26</v>
      </c>
      <c r="D61" s="94">
        <f>SUM('DOE25'!G98:G110)</f>
        <v>0</v>
      </c>
      <c r="E61" s="94">
        <f>SUM('DOE25'!H98:H110)</f>
        <v>0</v>
      </c>
      <c r="F61" s="94">
        <f>SUM('DOE25'!I98:I110)</f>
        <v>0</v>
      </c>
      <c r="G61" s="94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4954.18</v>
      </c>
      <c r="D62" s="129">
        <f>SUM(D57:D61)</f>
        <v>20580.819999999996</v>
      </c>
      <c r="E62" s="129">
        <f>SUM(E57:E61)</f>
        <v>0</v>
      </c>
      <c r="F62" s="129">
        <f>SUM(F57:F61)</f>
        <v>0</v>
      </c>
      <c r="G62" s="129">
        <f>SUM(G57:G61)</f>
        <v>7.18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3927842.18</v>
      </c>
      <c r="D63" s="22">
        <f>D56+D62</f>
        <v>20580.819999999996</v>
      </c>
      <c r="E63" s="22">
        <f>E56+E62</f>
        <v>0</v>
      </c>
      <c r="F63" s="22">
        <f>F56+F62</f>
        <v>0</v>
      </c>
      <c r="G63" s="22">
        <f>G56+G62</f>
        <v>7.18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582184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601986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0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1184170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0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24053.84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0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734.31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24053.84</v>
      </c>
      <c r="D78" s="129">
        <f>SUM(D72:D77)</f>
        <v>734.31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1208223.8400000001</v>
      </c>
      <c r="D81" s="129">
        <f>SUM(D79:D80)+D78+D70</f>
        <v>734.31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0</v>
      </c>
      <c r="D87" s="24" t="s">
        <v>289</v>
      </c>
      <c r="E87" s="94">
        <f>SUM('DOE25'!H149:H152)</f>
        <v>0</v>
      </c>
      <c r="F87" s="94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28479.26</v>
      </c>
      <c r="D88" s="94">
        <f>SUM('DOE25'!G153:G161)</f>
        <v>17135.93</v>
      </c>
      <c r="E88" s="94">
        <f>SUM('DOE25'!H153:H161)</f>
        <v>65927.569999999992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28479.26</v>
      </c>
      <c r="D91" s="130">
        <f>SUM(D85:D90)</f>
        <v>17135.93</v>
      </c>
      <c r="E91" s="130">
        <f>SUM(E85:E90)</f>
        <v>65927.569999999992</v>
      </c>
      <c r="F91" s="130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12000</v>
      </c>
      <c r="E96" s="94">
        <f>'DOE25'!H179</f>
        <v>0</v>
      </c>
      <c r="F96" s="94">
        <f>'DOE25'!I179</f>
        <v>0</v>
      </c>
      <c r="G96" s="94">
        <f>'DOE25'!J179</f>
        <v>0</v>
      </c>
    </row>
    <row r="97" spans="1:7" x14ac:dyDescent="0.2">
      <c r="A97" t="s">
        <v>758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40000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40000</v>
      </c>
      <c r="D103" s="85">
        <f>SUM(D93:D102)</f>
        <v>12000</v>
      </c>
      <c r="E103" s="85">
        <f>SUM(E93:E102)</f>
        <v>0</v>
      </c>
      <c r="F103" s="85">
        <f>SUM(F93:F102)</f>
        <v>0</v>
      </c>
      <c r="G103" s="85">
        <f>SUM(G93:G102)</f>
        <v>0</v>
      </c>
    </row>
    <row r="104" spans="1:7" ht="12.75" thickTop="1" thickBot="1" x14ac:dyDescent="0.25">
      <c r="A104" s="33" t="s">
        <v>765</v>
      </c>
      <c r="C104" s="85">
        <f>C63+C81+C91+C103</f>
        <v>5204545.28</v>
      </c>
      <c r="D104" s="85">
        <f>D63+D81+D91+D103</f>
        <v>50451.06</v>
      </c>
      <c r="E104" s="85">
        <f>E63+E81+E91+E103</f>
        <v>65927.569999999992</v>
      </c>
      <c r="F104" s="85">
        <f>F63+F81+F91+F103</f>
        <v>0</v>
      </c>
      <c r="G104" s="85">
        <f>G63+G81+G103</f>
        <v>7.18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2920907.1199999996</v>
      </c>
      <c r="D109" s="24" t="s">
        <v>289</v>
      </c>
      <c r="E109" s="94">
        <f>('DOE25'!L276)+('DOE25'!L295)+('DOE25'!L314)</f>
        <v>27884.5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766340.61</v>
      </c>
      <c r="D110" s="24" t="s">
        <v>289</v>
      </c>
      <c r="E110" s="94">
        <f>('DOE25'!L277)+('DOE25'!L296)+('DOE25'!L315)</f>
        <v>23496.79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0</v>
      </c>
      <c r="D111" s="24" t="s">
        <v>289</v>
      </c>
      <c r="E111" s="94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2143.86</v>
      </c>
      <c r="D112" s="24" t="s">
        <v>289</v>
      </c>
      <c r="E112" s="94">
        <f>+('DOE25'!L279)+('DOE25'!L298)+('DOE25'!L317)</f>
        <v>4487.1899999999996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289</v>
      </c>
      <c r="E114" s="94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3689391.5899999994</v>
      </c>
      <c r="D115" s="85">
        <f>SUM(D109:D114)</f>
        <v>0</v>
      </c>
      <c r="E115" s="85">
        <f>SUM(E109:E114)</f>
        <v>55868.480000000003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309084.71999999997</v>
      </c>
      <c r="D118" s="24" t="s">
        <v>289</v>
      </c>
      <c r="E118" s="94">
        <f>+('DOE25'!L281)+('DOE25'!L300)+('DOE25'!L319)</f>
        <v>4061.3099999999995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58732.979999999996</v>
      </c>
      <c r="D119" s="24" t="s">
        <v>289</v>
      </c>
      <c r="E119" s="94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415654.93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155503.44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0</v>
      </c>
      <c r="D122" s="24" t="s">
        <v>289</v>
      </c>
      <c r="E122" s="94">
        <f>+('DOE25'!L285)+('DOE25'!L304)+('DOE25'!L323)</f>
        <v>5997.78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321088.87000000005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222234.20999999996</v>
      </c>
      <c r="D124" s="24" t="s">
        <v>289</v>
      </c>
      <c r="E124" s="94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0</v>
      </c>
      <c r="D125" s="24" t="s">
        <v>289</v>
      </c>
      <c r="E125" s="94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48304.480000000003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1482299.15</v>
      </c>
      <c r="D128" s="85">
        <f>SUM(D118:D127)</f>
        <v>48304.480000000003</v>
      </c>
      <c r="E128" s="85">
        <f>SUM(E118:E127)</f>
        <v>10059.09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289</v>
      </c>
      <c r="E130" s="128">
        <f>'DOE25'!L336</f>
        <v>0</v>
      </c>
      <c r="F130" s="128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0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0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40000</v>
      </c>
    </row>
    <row r="135" spans="1:7" x14ac:dyDescent="0.2">
      <c r="A135" t="s">
        <v>233</v>
      </c>
      <c r="B135" s="32" t="s">
        <v>234</v>
      </c>
      <c r="C135" s="94">
        <f>'DOE25'!L263</f>
        <v>12000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7.18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-7.18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12000</v>
      </c>
      <c r="D144" s="140">
        <f>SUM(D130:D143)</f>
        <v>0</v>
      </c>
      <c r="E144" s="140">
        <f>SUM(E130:E143)</f>
        <v>0</v>
      </c>
      <c r="F144" s="140">
        <f>SUM(F130:F143)</f>
        <v>0</v>
      </c>
      <c r="G144" s="140">
        <f>SUM(G130:G143)</f>
        <v>40000</v>
      </c>
    </row>
    <row r="145" spans="1:9" ht="12.75" thickTop="1" thickBot="1" x14ac:dyDescent="0.25">
      <c r="A145" s="33" t="s">
        <v>244</v>
      </c>
      <c r="C145" s="85">
        <f>(C115+C128+C144)</f>
        <v>5183690.7399999993</v>
      </c>
      <c r="D145" s="85">
        <f>(D115+D128+D144)</f>
        <v>48304.480000000003</v>
      </c>
      <c r="E145" s="85">
        <f>(E115+E128+E144)</f>
        <v>65927.570000000007</v>
      </c>
      <c r="F145" s="85">
        <f>(F115+F128+F144)</f>
        <v>0</v>
      </c>
      <c r="G145" s="85">
        <f>(G115+G128+G144)</f>
        <v>40000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1">
        <f>'DOE25'!F490</f>
        <v>0</v>
      </c>
      <c r="C151" s="151">
        <f>'DOE25'!G490</f>
        <v>1</v>
      </c>
      <c r="D151" s="151">
        <f>'DOE25'!H490</f>
        <v>2</v>
      </c>
      <c r="E151" s="151">
        <f>'DOE25'!I490</f>
        <v>3</v>
      </c>
      <c r="F151" s="151">
        <f>'DOE25'!J490</f>
        <v>4</v>
      </c>
      <c r="G151" s="24" t="s">
        <v>289</v>
      </c>
    </row>
    <row r="152" spans="1:9" x14ac:dyDescent="0.2">
      <c r="A152" s="135" t="s">
        <v>28</v>
      </c>
      <c r="B152" s="150" t="str">
        <f>'DOE25'!F491</f>
        <v>0</v>
      </c>
      <c r="C152" s="150" t="str">
        <f>'DOE25'!G491</f>
        <v>0</v>
      </c>
      <c r="D152" s="150" t="str">
        <f>'DOE25'!H491</f>
        <v>0</v>
      </c>
      <c r="E152" s="150" t="str">
        <f>'DOE25'!I491</f>
        <v>0</v>
      </c>
      <c r="F152" s="150" t="str">
        <f>'DOE25'!J491</f>
        <v>0</v>
      </c>
      <c r="G152" s="24" t="s">
        <v>289</v>
      </c>
    </row>
    <row r="153" spans="1:9" x14ac:dyDescent="0.2">
      <c r="A153" s="135" t="s">
        <v>29</v>
      </c>
      <c r="B153" s="150" t="str">
        <f>'DOE25'!F492</f>
        <v>0</v>
      </c>
      <c r="C153" s="150" t="str">
        <f>'DOE25'!G492</f>
        <v>0</v>
      </c>
      <c r="D153" s="150" t="str">
        <f>'DOE25'!H492</f>
        <v>0</v>
      </c>
      <c r="E153" s="150" t="str">
        <f>'DOE25'!I492</f>
        <v>0</v>
      </c>
      <c r="F153" s="150" t="str">
        <f>'DOE25'!J492</f>
        <v>0</v>
      </c>
      <c r="G153" s="24" t="s">
        <v>289</v>
      </c>
    </row>
    <row r="154" spans="1:9" x14ac:dyDescent="0.2">
      <c r="A154" s="135" t="s">
        <v>30</v>
      </c>
      <c r="B154" s="136">
        <f>'DOE25'!F493</f>
        <v>0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135" t="s">
        <v>31</v>
      </c>
      <c r="B155" s="136">
        <f>'DOE25'!F494</f>
        <v>0</v>
      </c>
      <c r="C155" s="136">
        <f>'DOE25'!G494</f>
        <v>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24" t="s">
        <v>289</v>
      </c>
    </row>
    <row r="156" spans="1:9" x14ac:dyDescent="0.2">
      <c r="A156" s="22" t="s">
        <v>32</v>
      </c>
      <c r="B156" s="136">
        <f>'DOE25'!F495</f>
        <v>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0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0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0</v>
      </c>
    </row>
    <row r="159" spans="1:9" x14ac:dyDescent="0.2">
      <c r="A159" s="22" t="s">
        <v>35</v>
      </c>
      <c r="B159" s="136">
        <f>'DOE25'!F498</f>
        <v>0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0</v>
      </c>
    </row>
    <row r="160" spans="1:9" x14ac:dyDescent="0.2">
      <c r="A160" s="22" t="s">
        <v>36</v>
      </c>
      <c r="B160" s="136">
        <f>'DOE25'!F499</f>
        <v>0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0</v>
      </c>
    </row>
    <row r="161" spans="1:7" x14ac:dyDescent="0.2">
      <c r="A161" s="22" t="s">
        <v>37</v>
      </c>
      <c r="B161" s="136">
        <f>'DOE25'!F500</f>
        <v>0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0</v>
      </c>
    </row>
    <row r="162" spans="1:7" x14ac:dyDescent="0.2">
      <c r="A162" s="22" t="s">
        <v>38</v>
      </c>
      <c r="B162" s="136">
        <f>'DOE25'!F501</f>
        <v>0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0</v>
      </c>
    </row>
    <row r="163" spans="1:7" x14ac:dyDescent="0.2">
      <c r="A163" s="22" t="s">
        <v>39</v>
      </c>
      <c r="B163" s="136">
        <f>'DOE25'!F502</f>
        <v>0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0</v>
      </c>
    </row>
    <row r="164" spans="1:7" x14ac:dyDescent="0.2">
      <c r="A164" s="22" t="s">
        <v>246</v>
      </c>
      <c r="B164" s="136">
        <f>'DOE25'!F503</f>
        <v>0</v>
      </c>
      <c r="C164" s="136">
        <f>'DOE25'!G503</f>
        <v>0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5" t="s">
        <v>717</v>
      </c>
      <c r="B2" s="184" t="str">
        <f>'DOE25'!A2</f>
        <v>Rollinsford</v>
      </c>
    </row>
    <row r="3" spans="1:4" x14ac:dyDescent="0.2">
      <c r="B3" s="186" t="s">
        <v>896</v>
      </c>
    </row>
    <row r="4" spans="1:4" x14ac:dyDescent="0.2">
      <c r="B4" t="s">
        <v>61</v>
      </c>
      <c r="C4" s="177">
        <f>IF('DOE25'!F665+'DOE25'!F670=0,0,ROUND('DOE25'!F672,0))</f>
        <v>18373</v>
      </c>
    </row>
    <row r="5" spans="1:4" x14ac:dyDescent="0.2">
      <c r="B5" t="s">
        <v>704</v>
      </c>
      <c r="C5" s="177">
        <f>IF('DOE25'!G665+'DOE25'!G670=0,0,ROUND('DOE25'!G672,0))</f>
        <v>0</v>
      </c>
    </row>
    <row r="6" spans="1:4" x14ac:dyDescent="0.2">
      <c r="B6" t="s">
        <v>62</v>
      </c>
      <c r="C6" s="177">
        <f>IF('DOE25'!H665+'DOE25'!H670=0,0,ROUND('DOE25'!H672,0))</f>
        <v>0</v>
      </c>
    </row>
    <row r="7" spans="1:4" x14ac:dyDescent="0.2">
      <c r="B7" t="s">
        <v>705</v>
      </c>
      <c r="C7" s="177">
        <f>IF('DOE25'!I665+'DOE25'!I670=0,0,ROUND('DOE25'!I672,0))</f>
        <v>18373</v>
      </c>
    </row>
    <row r="9" spans="1:4" x14ac:dyDescent="0.2">
      <c r="A9" s="185" t="s">
        <v>94</v>
      </c>
      <c r="B9" s="186" t="s">
        <v>897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ROUND('DOE25'!L197+'DOE25'!L215+'DOE25'!L233+'DOE25'!L276+'DOE25'!L295+'DOE25'!L314,0)</f>
        <v>2948792</v>
      </c>
      <c r="D10" s="180">
        <f>ROUND((C10/$C$28)*100,1)</f>
        <v>56</v>
      </c>
    </row>
    <row r="11" spans="1:4" x14ac:dyDescent="0.2">
      <c r="A11">
        <v>1200</v>
      </c>
      <c r="B11" t="s">
        <v>707</v>
      </c>
      <c r="C11" s="177">
        <f>ROUND('DOE25'!L198+'DOE25'!L216+'DOE25'!L234+'DOE25'!L277+'DOE25'!L296+'DOE25'!L315,0)</f>
        <v>789837</v>
      </c>
      <c r="D11" s="180">
        <f>ROUND((C11/$C$28)*100,1)</f>
        <v>15</v>
      </c>
    </row>
    <row r="12" spans="1:4" x14ac:dyDescent="0.2">
      <c r="A12">
        <v>1300</v>
      </c>
      <c r="B12" t="s">
        <v>708</v>
      </c>
      <c r="C12" s="177">
        <f>ROUND('DOE25'!L199+'DOE25'!L217+'DOE25'!L235+'DOE25'!L278+'DOE25'!L297+'DOE25'!L316,0)</f>
        <v>0</v>
      </c>
      <c r="D12" s="180">
        <f>ROUND((C12/$C$28)*100,1)</f>
        <v>0</v>
      </c>
    </row>
    <row r="13" spans="1:4" x14ac:dyDescent="0.2">
      <c r="A13">
        <v>1400</v>
      </c>
      <c r="B13" t="s">
        <v>709</v>
      </c>
      <c r="C13" s="177">
        <f>ROUND('DOE25'!L200+'DOE25'!L218+'DOE25'!L236+'DOE25'!L279+'DOE25'!L298+'DOE25'!L317,0)</f>
        <v>6631</v>
      </c>
      <c r="D13" s="180">
        <f>ROUND((C13/$C$28)*100,1)</f>
        <v>0.1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ROUND('DOE25'!L202+'DOE25'!L220+'DOE25'!L238+'DOE25'!L281+'DOE25'!L300+'DOE25'!L319,0)</f>
        <v>313146</v>
      </c>
      <c r="D15" s="180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7">
        <f>ROUND('DOE25'!L203+'DOE25'!L221+'DOE25'!L239+'DOE25'!L282+'DOE25'!L301+'DOE25'!L320,0)</f>
        <v>58733</v>
      </c>
      <c r="D16" s="180">
        <f t="shared" si="0"/>
        <v>1.1000000000000001</v>
      </c>
    </row>
    <row r="17" spans="1:4" x14ac:dyDescent="0.2">
      <c r="A17" s="181" t="s">
        <v>727</v>
      </c>
      <c r="B17" t="s">
        <v>742</v>
      </c>
      <c r="C17" s="177">
        <f>ROUND('DOE25'!L204+'DOE25'!L209+'DOE25'!L222+'DOE25'!L227+'DOE25'!L240+'DOE25'!L245+'DOE25'!L283+'DOE25'!L288+'DOE25'!L302+'DOE25'!L307+'DOE25'!L321+'DOE25'!L326,0)</f>
        <v>415655</v>
      </c>
      <c r="D17" s="180">
        <f t="shared" si="0"/>
        <v>7.9</v>
      </c>
    </row>
    <row r="18" spans="1:4" x14ac:dyDescent="0.2">
      <c r="A18">
        <v>2400</v>
      </c>
      <c r="B18" t="s">
        <v>715</v>
      </c>
      <c r="C18" s="177">
        <f>ROUND('DOE25'!L205+'DOE25'!L223+'DOE25'!L241+'DOE25'!L284+'DOE25'!L303+'DOE25'!L322,0)</f>
        <v>155503</v>
      </c>
      <c r="D18" s="180">
        <f t="shared" si="0"/>
        <v>3</v>
      </c>
    </row>
    <row r="19" spans="1:4" x14ac:dyDescent="0.2">
      <c r="A19">
        <v>2500</v>
      </c>
      <c r="B19" t="s">
        <v>712</v>
      </c>
      <c r="C19" s="177">
        <f>ROUND('DOE25'!L206+'DOE25'!L224+'DOE25'!L242+'DOE25'!L285+'DOE25'!L304+'DOE25'!L323,0)</f>
        <v>5998</v>
      </c>
      <c r="D19" s="180">
        <f t="shared" si="0"/>
        <v>0.1</v>
      </c>
    </row>
    <row r="20" spans="1:4" x14ac:dyDescent="0.2">
      <c r="A20">
        <v>2600</v>
      </c>
      <c r="B20" t="s">
        <v>713</v>
      </c>
      <c r="C20" s="177">
        <f>ROUND('DOE25'!L207+'DOE25'!L225+'DOE25'!L243+'DOE25'!L286+'DOE25'!L305+'DOE25'!L324,0)</f>
        <v>321089</v>
      </c>
      <c r="D20" s="180">
        <f t="shared" si="0"/>
        <v>6.1</v>
      </c>
    </row>
    <row r="21" spans="1:4" x14ac:dyDescent="0.2">
      <c r="A21">
        <v>2700</v>
      </c>
      <c r="B21" t="s">
        <v>714</v>
      </c>
      <c r="C21" s="177">
        <f>ROUND('DOE25'!L208+'DOE25'!L226+'DOE25'!L244+'DOE25'!L287+'DOE25'!L306+'DOE25'!L325,0)</f>
        <v>222234</v>
      </c>
      <c r="D21" s="180">
        <f t="shared" si="0"/>
        <v>4.2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720</v>
      </c>
      <c r="C25" s="177">
        <f>ROUND('DOE25'!L261+'DOE25'!L342,0)</f>
        <v>0</v>
      </c>
      <c r="D25" s="180">
        <f t="shared" si="0"/>
        <v>0</v>
      </c>
    </row>
    <row r="26" spans="1:4" x14ac:dyDescent="0.2">
      <c r="A26" s="181" t="s">
        <v>721</v>
      </c>
      <c r="B26" t="s">
        <v>722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27723.180000000004</v>
      </c>
      <c r="D27" s="180">
        <f t="shared" si="0"/>
        <v>0.5</v>
      </c>
    </row>
    <row r="28" spans="1:4" x14ac:dyDescent="0.2">
      <c r="B28" s="185" t="s">
        <v>723</v>
      </c>
      <c r="C28" s="178">
        <f>SUM(C10:C27)</f>
        <v>5265341.18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ROUND('DOE25'!L255+'DOE25'!L336+'DOE25'!L374+'DOE25'!L375+'DOE25'!L376+'DOE25'!L377+'DOE25'!L378+'DOE25'!L379+'DOE25'!L380,0)</f>
        <v>0</v>
      </c>
    </row>
    <row r="30" spans="1:4" x14ac:dyDescent="0.2">
      <c r="B30" s="185" t="s">
        <v>729</v>
      </c>
      <c r="C30" s="178">
        <f>SUM(C28:C29)</f>
        <v>5265341.18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ROUND('DOE25'!L260+'DOE25'!L341,0)</f>
        <v>0</v>
      </c>
    </row>
    <row r="34" spans="1:4" x14ac:dyDescent="0.2">
      <c r="A34" s="185" t="s">
        <v>94</v>
      </c>
      <c r="B34" s="186" t="s">
        <v>898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ROUND('DOE25'!F60+'DOE25'!G60+'DOE25'!H60+'DOE25'!I60+'DOE25'!J60,0)</f>
        <v>3922888</v>
      </c>
      <c r="D35" s="180">
        <f t="shared" ref="D35:D40" si="1">ROUND((C35/$C$41)*100,1)</f>
        <v>74.7</v>
      </c>
    </row>
    <row r="36" spans="1:4" x14ac:dyDescent="0.2">
      <c r="B36" s="183" t="s">
        <v>743</v>
      </c>
      <c r="C36" s="177">
        <f>SUM('DOE25'!F112:J112)-SUM('DOE25'!G97:G110)+('DOE25'!F174+'DOE25'!F175+'DOE25'!I174+'DOE25'!I175)-C35</f>
        <v>4961.3600000003353</v>
      </c>
      <c r="D36" s="180">
        <f t="shared" si="1"/>
        <v>0.1</v>
      </c>
    </row>
    <row r="37" spans="1:4" x14ac:dyDescent="0.2">
      <c r="A37" s="181" t="s">
        <v>851</v>
      </c>
      <c r="B37" s="183" t="s">
        <v>732</v>
      </c>
      <c r="C37" s="177">
        <f>ROUND('DOE25'!F117+'DOE25'!F118,0)</f>
        <v>1184170</v>
      </c>
      <c r="D37" s="180">
        <f t="shared" si="1"/>
        <v>22.6</v>
      </c>
    </row>
    <row r="38" spans="1:4" x14ac:dyDescent="0.2">
      <c r="A38" s="181" t="s">
        <v>738</v>
      </c>
      <c r="B38" s="183" t="s">
        <v>733</v>
      </c>
      <c r="C38" s="177">
        <f>ROUND(SUM('DOE25'!F140:J140)-SUM('DOE25'!F117:F119),0)</f>
        <v>24788</v>
      </c>
      <c r="D38" s="180">
        <f t="shared" si="1"/>
        <v>0.5</v>
      </c>
    </row>
    <row r="39" spans="1:4" x14ac:dyDescent="0.2">
      <c r="A39">
        <v>4000</v>
      </c>
      <c r="B39" s="183" t="s">
        <v>734</v>
      </c>
      <c r="C39" s="177">
        <f>ROUND('DOE25'!F169+'DOE25'!G169+'DOE25'!H169+'DOE25'!I169,0)</f>
        <v>111543</v>
      </c>
      <c r="D39" s="180">
        <f t="shared" si="1"/>
        <v>2.1</v>
      </c>
    </row>
    <row r="40" spans="1:4" x14ac:dyDescent="0.2">
      <c r="A40" s="181" t="s">
        <v>739</v>
      </c>
      <c r="B40" s="183" t="s">
        <v>735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5248350.3600000003</v>
      </c>
      <c r="D41" s="182">
        <f>SUM(D35:D40)</f>
        <v>100</v>
      </c>
    </row>
    <row r="42" spans="1:4" x14ac:dyDescent="0.2">
      <c r="A42" s="181" t="s">
        <v>741</v>
      </c>
      <c r="B42" s="183" t="s">
        <v>737</v>
      </c>
      <c r="C42" s="177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1"/>
      <c r="K1" s="211"/>
      <c r="L1" s="211"/>
      <c r="M1" s="212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Rollinsford</v>
      </c>
      <c r="G2" s="296"/>
      <c r="H2" s="296"/>
      <c r="I2" s="296"/>
      <c r="J2" s="52"/>
      <c r="K2" s="52"/>
      <c r="L2" s="52"/>
      <c r="M2" s="213"/>
    </row>
    <row r="3" spans="1:26" x14ac:dyDescent="0.2">
      <c r="A3" s="214" t="s">
        <v>768</v>
      </c>
      <c r="B3" s="215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6"/>
      <c r="B4" s="217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09"/>
      <c r="O29" s="209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5"/>
      <c r="AB29" s="205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5"/>
      <c r="AO29" s="205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5"/>
      <c r="BB29" s="205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5"/>
      <c r="BO29" s="205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5"/>
      <c r="CB29" s="205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5"/>
      <c r="CO29" s="205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5"/>
      <c r="DB29" s="205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5"/>
      <c r="DO29" s="205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5"/>
      <c r="EB29" s="205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5"/>
      <c r="EO29" s="205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5"/>
      <c r="FB29" s="205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5"/>
      <c r="FO29" s="205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5"/>
      <c r="GB29" s="205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5"/>
      <c r="GO29" s="205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5"/>
      <c r="HB29" s="205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5"/>
      <c r="HO29" s="205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5"/>
      <c r="IB29" s="205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5"/>
      <c r="IO29" s="205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6"/>
      <c r="B30" s="217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09"/>
      <c r="O30" s="209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5"/>
      <c r="AB30" s="205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5"/>
      <c r="AO30" s="205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5"/>
      <c r="BB30" s="205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5"/>
      <c r="BO30" s="205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5"/>
      <c r="CB30" s="205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5"/>
      <c r="CO30" s="205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5"/>
      <c r="DB30" s="205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5"/>
      <c r="DO30" s="205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5"/>
      <c r="EB30" s="205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5"/>
      <c r="EO30" s="205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5"/>
      <c r="FB30" s="205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5"/>
      <c r="FO30" s="205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5"/>
      <c r="GB30" s="205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5"/>
      <c r="GO30" s="205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5"/>
      <c r="HB30" s="205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5"/>
      <c r="HO30" s="205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5"/>
      <c r="IB30" s="205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5"/>
      <c r="IO30" s="205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6"/>
      <c r="B31" s="217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09"/>
      <c r="O31" s="209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5"/>
      <c r="AB31" s="205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5"/>
      <c r="AO31" s="205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5"/>
      <c r="BB31" s="205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5"/>
      <c r="BO31" s="205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5"/>
      <c r="CB31" s="205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5"/>
      <c r="CO31" s="205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5"/>
      <c r="DB31" s="205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5"/>
      <c r="DO31" s="205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5"/>
      <c r="EB31" s="205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5"/>
      <c r="EO31" s="205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5"/>
      <c r="FB31" s="205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5"/>
      <c r="FO31" s="205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5"/>
      <c r="GB31" s="205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5"/>
      <c r="GO31" s="205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5"/>
      <c r="HB31" s="205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5"/>
      <c r="HO31" s="205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5"/>
      <c r="IB31" s="205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5"/>
      <c r="IO31" s="205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6"/>
      <c r="B32" s="217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1"/>
      <c r="O32" s="221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6"/>
      <c r="AB32" s="217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6"/>
      <c r="AO32" s="217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6"/>
      <c r="BB32" s="217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6"/>
      <c r="BO32" s="217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6"/>
      <c r="CB32" s="217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6"/>
      <c r="CO32" s="217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6"/>
      <c r="DB32" s="217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6"/>
      <c r="DO32" s="217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6"/>
      <c r="EB32" s="217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6"/>
      <c r="EO32" s="217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6"/>
      <c r="FB32" s="217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6"/>
      <c r="FO32" s="217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6"/>
      <c r="GB32" s="217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6"/>
      <c r="GO32" s="217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6"/>
      <c r="HB32" s="217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6"/>
      <c r="HO32" s="217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6"/>
      <c r="IB32" s="217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6"/>
      <c r="IO32" s="217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6"/>
      <c r="B33" s="217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09"/>
      <c r="O38" s="209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5"/>
      <c r="AB38" s="205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5"/>
      <c r="AO38" s="205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5"/>
      <c r="BB38" s="205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5"/>
      <c r="BO38" s="205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5"/>
      <c r="CB38" s="205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5"/>
      <c r="CO38" s="205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5"/>
      <c r="DB38" s="205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5"/>
      <c r="DO38" s="205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5"/>
      <c r="EB38" s="205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5"/>
      <c r="EO38" s="205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5"/>
      <c r="FB38" s="205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5"/>
      <c r="FO38" s="205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5"/>
      <c r="GB38" s="205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5"/>
      <c r="GO38" s="205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5"/>
      <c r="HB38" s="205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5"/>
      <c r="HO38" s="205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5"/>
      <c r="IB38" s="205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5"/>
      <c r="IO38" s="205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6"/>
      <c r="B39" s="217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09"/>
      <c r="O39" s="209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5"/>
      <c r="AB39" s="205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5"/>
      <c r="AO39" s="205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5"/>
      <c r="BB39" s="205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5"/>
      <c r="BO39" s="205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5"/>
      <c r="CB39" s="205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5"/>
      <c r="CO39" s="205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5"/>
      <c r="DB39" s="205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5"/>
      <c r="DO39" s="205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5"/>
      <c r="EB39" s="205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5"/>
      <c r="EO39" s="205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5"/>
      <c r="FB39" s="205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5"/>
      <c r="FO39" s="205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5"/>
      <c r="GB39" s="205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5"/>
      <c r="GO39" s="205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5"/>
      <c r="HB39" s="205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5"/>
      <c r="HO39" s="205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5"/>
      <c r="IB39" s="205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5"/>
      <c r="IO39" s="205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6"/>
      <c r="B40" s="217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09"/>
      <c r="O40" s="209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5"/>
      <c r="AB40" s="205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5"/>
      <c r="AO40" s="205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5"/>
      <c r="BB40" s="205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5"/>
      <c r="BO40" s="205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5"/>
      <c r="CB40" s="205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5"/>
      <c r="CO40" s="205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5"/>
      <c r="DB40" s="205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5"/>
      <c r="DO40" s="205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5"/>
      <c r="EB40" s="205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5"/>
      <c r="EO40" s="205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5"/>
      <c r="FB40" s="205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5"/>
      <c r="FO40" s="205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5"/>
      <c r="GB40" s="205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5"/>
      <c r="GO40" s="205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5"/>
      <c r="HB40" s="205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5"/>
      <c r="HO40" s="205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5"/>
      <c r="IB40" s="205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5"/>
      <c r="IO40" s="205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6"/>
      <c r="B41" s="217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6"/>
      <c r="B60" s="217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6"/>
      <c r="B61" s="217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6"/>
      <c r="B62" s="217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6"/>
      <c r="B63" s="217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6"/>
      <c r="B64" s="217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6"/>
      <c r="B65" s="217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6"/>
      <c r="B66" s="217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6"/>
      <c r="B67" s="217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6"/>
      <c r="B68" s="217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6"/>
      <c r="B69" s="217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18"/>
      <c r="B70" s="219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86" t="s">
        <v>848</v>
      </c>
      <c r="B72" s="286"/>
      <c r="C72" s="286"/>
      <c r="D72" s="286"/>
      <c r="E72" s="286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768</v>
      </c>
      <c r="B73" s="208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09"/>
      <c r="B74" s="209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09"/>
      <c r="B75" s="209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09"/>
      <c r="B76" s="209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09"/>
      <c r="B77" s="209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09"/>
      <c r="B78" s="209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09"/>
      <c r="B79" s="209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09"/>
      <c r="B80" s="209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09"/>
      <c r="B81" s="209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09"/>
      <c r="B82" s="209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09"/>
      <c r="B83" s="209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09"/>
      <c r="B84" s="209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09"/>
      <c r="B85" s="209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09"/>
      <c r="B86" s="209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09"/>
      <c r="B87" s="209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09"/>
      <c r="B88" s="209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09"/>
      <c r="B89" s="209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09"/>
      <c r="B90" s="209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2014-09-03T11:47:49Z</cp:lastPrinted>
  <dcterms:created xsi:type="dcterms:W3CDTF">1997-12-04T19:04:30Z</dcterms:created>
  <dcterms:modified xsi:type="dcterms:W3CDTF">2014-09-03T17:36:29Z</dcterms:modified>
</cp:coreProperties>
</file>