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L257" i="1" s="1"/>
  <c r="L271" i="1" s="1"/>
  <c r="G632" i="1" s="1"/>
  <c r="K257" i="1"/>
  <c r="K271" i="1" s="1"/>
  <c r="I257" i="1"/>
  <c r="I271" i="1" s="1"/>
  <c r="G257" i="1"/>
  <c r="G271" i="1" s="1"/>
  <c r="G164" i="2"/>
  <c r="C18" i="2"/>
  <c r="C26" i="10"/>
  <c r="L328" i="1"/>
  <c r="H660" i="1" s="1"/>
  <c r="H664" i="1" s="1"/>
  <c r="L351" i="1"/>
  <c r="I662" i="1"/>
  <c r="L290" i="1"/>
  <c r="F660" i="1" s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C78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F664" i="1"/>
  <c r="F672" i="1" s="1"/>
  <c r="C4" i="10" s="1"/>
  <c r="I552" i="1"/>
  <c r="K549" i="1"/>
  <c r="K550" i="1"/>
  <c r="G22" i="2"/>
  <c r="K598" i="1"/>
  <c r="G647" i="1" s="1"/>
  <c r="J647" i="1" s="1"/>
  <c r="K545" i="1"/>
  <c r="J552" i="1"/>
  <c r="H552" i="1"/>
  <c r="C29" i="10"/>
  <c r="I661" i="1"/>
  <c r="H140" i="1"/>
  <c r="L401" i="1"/>
  <c r="C139" i="2" s="1"/>
  <c r="L393" i="1"/>
  <c r="C138" i="2" s="1"/>
  <c r="A13" i="12"/>
  <c r="F22" i="13"/>
  <c r="H25" i="13"/>
  <c r="C25" i="13" s="1"/>
  <c r="J651" i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E33" i="13" s="1"/>
  <c r="D35" i="13" s="1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6" i="13"/>
  <c r="H33" i="13"/>
  <c r="F667" i="1" l="1"/>
  <c r="C81" i="2"/>
  <c r="C62" i="2"/>
  <c r="C63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J632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I660" i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C104" i="2"/>
  <c r="J652" i="1"/>
  <c r="J642" i="1"/>
  <c r="G571" i="1"/>
  <c r="I434" i="1"/>
  <c r="G434" i="1"/>
  <c r="E104" i="2"/>
  <c r="I663" i="1"/>
  <c r="C27" i="10"/>
  <c r="C28" i="10" s="1"/>
  <c r="G635" i="1"/>
  <c r="J635" i="1" s="1"/>
  <c r="C51" i="2" l="1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 l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<sst xmlns="http://schemas.openxmlformats.org/spreadsheetml/2006/main" count="3957" uniqueCount="912">
  <si>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</si>
  <si>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</si>
  <si>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</si>
  <si>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</si>
  <si>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</si>
  <si>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</si>
  <si>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</si>
  <si>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</si>
  <si>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</si>
  <si>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</si>
  <si>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</si>
  <si>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</si>
  <si>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</si>
  <si>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</si>
  <si>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</si>
  <si>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</si>
  <si>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</si>
  <si>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</si>
  <si>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</si>
  <si>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</si>
  <si>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</si>
  <si>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</si>
  <si>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</si>
  <si>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</si>
  <si>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</si>
  <si>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</si>
  <si>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</si>
  <si>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</si>
  <si>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</si>
  <si>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</si>
  <si>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</si>
  <si>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</si>
  <si>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</si>
  <si>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</si>
  <si>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</si>
  <si>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</si>
  <si>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</si>
  <si>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</si>
  <si>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</si>
  <si>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</si>
  <si>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</si>
  <si>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</si>
  <si>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</si>
  <si>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</si>
  <si>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</si>
  <si>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</si>
  <si>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</si>
  <si>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</si>
  <si>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</si>
  <si>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</si>
  <si>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</si>
  <si>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</si>
  <si>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</si>
  <si>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</si>
  <si>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</si>
  <si>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</si>
  <si>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</si>
  <si>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</si>
  <si>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</si>
  <si>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</si>
  <si>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</si>
  <si>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</si>
  <si>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</si>
  <si>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</si>
  <si>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</si>
  <si>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</si>
  <si>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</si>
  <si>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</si>
  <si>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</si>
  <si>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</si>
  <si>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</si>
  <si>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</si>
  <si>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</si>
  <si>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</si>
  <si>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</si>
  <si>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</si>
  <si>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</si>
  <si>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</si>
  <si>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</si>
  <si>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</si>
  <si>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</si>
  <si>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</si>
  <si>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</si>
  <si>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</si>
  <si>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</si>
  <si>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</si>
  <si>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</si>
  <si>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</si>
  <si>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</si>
  <si>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</si>
  <si>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</si>
  <si>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</si>
  <si>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</si>
  <si>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</si>
  <si>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</si>
  <si>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</si>
  <si>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</si>
  <si>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</si>
  <si>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</si>
  <si>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</si>
  <si>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</si>
  <si>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</si>
  <si>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</si>
  <si>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</si>
  <si>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</si>
  <si>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</si>
  <si>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</si>
  <si>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</si>
  <si>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</si>
  <si>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</si>
  <si>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</si>
  <si>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</si>
  <si>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</si>
  <si>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</si>
  <si>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</si>
  <si>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</si>
  <si>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</si>
  <si>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</si>
  <si>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</si>
  <si>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</si>
  <si>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</si>
  <si>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</si>
  <si>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</si>
  <si>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</si>
  <si>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</si>
  <si>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</si>
  <si>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</si>
  <si>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</si>
  <si>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</si>
  <si>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</si>
  <si>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</si>
  <si>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</si>
  <si>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</si>
  <si>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</si>
  <si>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</si>
  <si>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</si>
  <si>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</si>
  <si>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</si>
  <si>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</si>
  <si>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</si>
  <si>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</si>
  <si>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</si>
  <si>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</si>
  <si>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</si>
  <si>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</si>
  <si>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</si>
  <si>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</si>
  <si>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</si>
  <si>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</si>
  <si>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</si>
  <si>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</si>
  <si>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</si>
  <si>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</si>
  <si>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</si>
  <si>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</si>
  <si>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</si>
  <si>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</si>
  <si>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</si>
  <si>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</si>
  <si>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</si>
  <si>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</si>
  <si>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</si>
  <si>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</si>
  <si>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</si>
  <si>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</si>
  <si>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</si>
  <si>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</si>
  <si>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</si>
  <si>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</si>
  <si>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</si>
  <si>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</si>
  <si>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</si>
  <si>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</si>
  <si>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</si>
  <si>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</si>
  <si>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</si>
  <si>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</si>
  <si>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</si>
  <si>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</si>
  <si>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</si>
  <si>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</si>
  <si>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</si>
  <si>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</si>
  <si>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</si>
  <si>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</si>
  <si>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</si>
  <si>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</si>
  <si>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</si>
  <si>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</si>
  <si>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</si>
  <si>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</si>
  <si>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</si>
  <si>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</si>
  <si>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</si>
  <si>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</si>
  <si>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</si>
  <si>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</si>
  <si>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</si>
  <si>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</si>
  <si>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</si>
  <si>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</si>
  <si>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</si>
  <si>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</si>
  <si>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</si>
  <si>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</si>
  <si>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</si>
  <si>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</si>
  <si>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</si>
  <si>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</si>
  <si>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</si>
  <si>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</si>
  <si>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</si>
  <si>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</si>
  <si>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</si>
  <si>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</si>
  <si>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</si>
  <si>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</si>
  <si>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</si>
  <si>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</si>
  <si>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</si>
  <si>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</si>
  <si>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</si>
  <si>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</si>
  <si>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</si>
  <si>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</si>
  <si>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</si>
  <si>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</si>
  <si>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</si>
  <si>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</si>
  <si>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</si>
  <si>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</si>
  <si>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</si>
  <si>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</si>
  <si>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</si>
  <si>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</si>
  <si>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</si>
  <si>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</si>
  <si>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</si>
  <si>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</si>
  <si>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</si>
  <si>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</si>
  <si>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</si>
  <si>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</si>
  <si>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</si>
  <si>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</si>
  <si>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</si>
  <si>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</si>
  <si>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</si>
  <si>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</si>
  <si>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</si>
  <si>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</si>
  <si>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</si>
  <si>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</si>
  <si>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</si>
  <si>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</si>
  <si>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</si>
  <si>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</si>
  <si>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</si>
  <si>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</si>
  <si>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</si>
  <si>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</si>
  <si>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</si>
  <si>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</si>
  <si>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</si>
  <si>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</si>
  <si>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</si>
  <si>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</si>
  <si>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</si>
  <si>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</si>
  <si>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</si>
  <si>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</si>
  <si>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</si>
  <si>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</si>
  <si>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</si>
  <si>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</si>
  <si>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</si>
  <si>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</si>
  <si>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</si>
  <si>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</si>
  <si>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</si>
  <si>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</si>
  <si>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</si>
  <si>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</si>
  <si>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</si>
  <si>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</si>
  <si>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</si>
  <si>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</si>
  <si>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</si>
  <si>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</si>
  <si>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</si>
  <si>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</si>
  <si>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</si>
  <si>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</si>
  <si>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</si>
  <si>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</si>
  <si>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</si>
  <si>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</si>
  <si>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</si>
  <si>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</si>
  <si>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</si>
  <si>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</si>
  <si>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</si>
  <si>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</si>
  <si>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</si>
  <si>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</si>
  <si>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</si>
  <si>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</si>
  <si>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</si>
  <si>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</si>
  <si>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</si>
  <si>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</si>
  <si>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</si>
  <si>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</si>
  <si>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</si>
  <si>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</si>
  <si>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</si>
  <si>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</si>
  <si>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</si>
  <si>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</si>
  <si>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</si>
  <si>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</si>
  <si>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</si>
  <si>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</si>
  <si>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</si>
  <si>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</si>
  <si>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</si>
  <si>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</si>
  <si>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</si>
  <si>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</si>
  <si>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</si>
  <si>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</si>
  <si>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</si>
  <si>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</si>
  <si>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</si>
  <si>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</si>
  <si>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</si>
  <si>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</si>
  <si>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</si>
  <si>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</si>
  <si>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</si>
  <si>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</si>
  <si>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</si>
  <si>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</si>
  <si>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</si>
  <si>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</si>
  <si>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</si>
  <si>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</si>
  <si>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</si>
  <si>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</si>
  <si>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</si>
  <si>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</si>
  <si>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</si>
  <si>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</si>
  <si>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</si>
  <si>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</si>
  <si>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</si>
  <si>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</si>
  <si>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</si>
  <si>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</si>
  <si>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</si>
  <si>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</si>
  <si>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</si>
  <si>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</si>
  <si>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</si>
  <si>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</si>
  <si>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</si>
  <si>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</si>
  <si>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</si>
  <si>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</si>
  <si>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</si>
  <si>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</si>
  <si>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</si>
  <si>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</si>
  <si>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</si>
  <si>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</si>
  <si>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</si>
  <si>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</si>
  <si>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</si>
  <si>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</si>
  <si>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</si>
  <si>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</si>
  <si>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</si>
  <si>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</si>
  <si>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</si>
  <si>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</si>
  <si>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</si>
  <si>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</si>
  <si>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</si>
  <si>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</si>
  <si>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</si>
  <si>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</si>
  <si>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</si>
  <si>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</si>
  <si>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</si>
  <si>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</si>
  <si>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</si>
  <si>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</si>
  <si>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</si>
  <si>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</si>
  <si>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</si>
  <si>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</si>
  <si>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</si>
  <si>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</si>
  <si>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</si>
  <si>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</si>
  <si>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</si>
  <si>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</si>
  <si>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</si>
  <si>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</si>
  <si>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</si>
  <si>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</si>
  <si>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</si>
  <si>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</si>
  <si>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</si>
  <si>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</si>
  <si>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</si>
  <si>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</si>
  <si>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</si>
  <si>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</si>
  <si>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</si>
  <si>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</si>
  <si>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</si>
  <si>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</si>
  <si>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</si>
  <si>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</si>
  <si>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</si>
  <si>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</si>
  <si>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</si>
  <si>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</si>
  <si>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</si>
  <si>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</si>
  <si>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</si>
  <si>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</si>
  <si>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</si>
  <si>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</si>
  <si>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</si>
  <si>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</si>
  <si>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</si>
  <si>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</si>
  <si>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</si>
  <si>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</si>
  <si>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</si>
  <si>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</si>
  <si>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</si>
  <si>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</si>
  <si>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</si>
  <si>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</si>
  <si>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</si>
  <si>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</si>
  <si>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</si>
  <si>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</si>
  <si>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</si>
  <si>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</si>
  <si>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</si>
  <si>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</si>
  <si>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</si>
  <si>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</si>
  <si>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</si>
  <si>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</si>
  <si>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</si>
  <si>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</si>
  <si>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</si>
  <si>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</si>
  <si>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</si>
  <si>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</si>
  <si>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</si>
  <si>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</si>
  <si>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</si>
  <si>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</si>
  <si>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</si>
  <si>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</si>
  <si>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</si>
  <si>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</si>
  <si>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</si>
  <si>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</si>
  <si>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</si>
  <si>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</si>
  <si>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</si>
  <si>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</si>
  <si>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</si>
  <si>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</si>
  <si>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</si>
  <si>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</si>
  <si>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</si>
  <si>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</si>
  <si>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</si>
  <si>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</si>
  <si>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</si>
  <si>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</si>
  <si>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</si>
  <si>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</si>
  <si>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</si>
  <si>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</si>
  <si>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</si>
  <si>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</si>
  <si>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</si>
  <si>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</si>
  <si>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</si>
  <si>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</si>
  <si>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</si>
  <si>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</si>
  <si>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</si>
  <si>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</si>
  <si>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</si>
  <si>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</si>
  <si>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</si>
  <si>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</si>
  <si>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</si>
  <si>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</si>
  <si>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</si>
  <si>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</si>
  <si>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</si>
  <si>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</si>
  <si>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</si>
  <si>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</si>
  <si>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</si>
  <si>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</si>
  <si>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</si>
  <si>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</si>
  <si>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</si>
  <si>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</si>
  <si>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</si>
  <si>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</si>
  <si>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</si>
  <si>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</si>
  <si>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</si>
  <si>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</si>
  <si>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</si>
  <si>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</si>
  <si>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</si>
  <si>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</si>
  <si>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</si>
  <si>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</si>
  <si>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</si>
  <si>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</si>
  <si>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</si>
  <si>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</si>
  <si>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</si>
  <si>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</si>
  <si>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</si>
  <si>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</si>
  <si>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</si>
  <si>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</si>
  <si>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</si>
  <si>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</si>
  <si>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</si>
  <si>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</si>
  <si>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</si>
  <si>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</si>
  <si>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</si>
  <si>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</si>
  <si>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</si>
  <si>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</si>
  <si>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</si>
  <si>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</si>
  <si>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</si>
  <si>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</si>
  <si>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</si>
  <si>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</si>
  <si>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</si>
  <si>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</si>
  <si>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</si>
  <si>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</si>
  <si>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</si>
  <si>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</si>
  <si>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</si>
  <si>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</si>
  <si>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</si>
  <si>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</si>
  <si>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</si>
  <si>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</si>
  <si>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</si>
  <si>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</si>
  <si>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</si>
  <si>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</si>
  <si>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</si>
  <si>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</si>
  <si>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</si>
  <si>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</si>
  <si>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</si>
  <si>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</si>
  <si>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</si>
  <si>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</si>
  <si>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</si>
  <si>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</si>
  <si>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</si>
  <si>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</si>
  <si>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</si>
  <si>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</si>
  <si>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</si>
  <si>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</si>
  <si>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</si>
  <si>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</si>
  <si>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</si>
  <si>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</si>
  <si>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</si>
  <si>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</si>
  <si>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</si>
  <si>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</si>
  <si>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</si>
  <si>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</si>
  <si>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</si>
  <si>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</si>
  <si>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</si>
  <si>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</si>
  <si>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</si>
  <si>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</si>
  <si>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</si>
  <si>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</si>
  <si>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</si>
  <si>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</si>
  <si>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</si>
  <si>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</si>
  <si>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</si>
  <si>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</si>
  <si>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</si>
  <si>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</si>
  <si>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</si>
  <si>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</si>
  <si>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</si>
  <si>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</si>
  <si>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</si>
  <si>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</si>
  <si>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</si>
  <si>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</si>
  <si>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</si>
  <si>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</si>
  <si>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</si>
  <si>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</si>
  <si>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</si>
  <si>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</si>
  <si>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</si>
  <si>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</si>
  <si>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</si>
  <si>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</si>
  <si>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</si>
  <si>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</si>
  <si>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</si>
  <si>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</si>
  <si>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</si>
  <si>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</si>
  <si>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</si>
  <si>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</si>
  <si>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</si>
  <si>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</si>
  <si>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</si>
  <si>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</si>
  <si>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</si>
  <si>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</si>
  <si>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</si>
  <si>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</si>
  <si>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</si>
  <si>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</si>
  <si>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</si>
  <si>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</si>
  <si>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</si>
  <si>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</si>
  <si>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</si>
  <si>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</si>
  <si>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</si>
  <si>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</si>
  <si>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</si>
  <si>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</si>
  <si>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</si>
  <si>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</si>
  <si>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</si>
  <si>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</si>
  <si>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</si>
  <si>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</si>
  <si>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</si>
  <si>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</si>
  <si>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</si>
  <si>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</si>
  <si>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</si>
  <si>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</si>
  <si>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</si>
  <si>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</si>
  <si>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</si>
  <si>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</si>
  <si>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</si>
  <si>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</si>
  <si>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</si>
  <si>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</si>
  <si>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</si>
  <si>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</si>
  <si>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</si>
  <si>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</si>
  <si>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</si>
  <si>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</si>
  <si>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</si>
  <si>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</si>
  <si>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</si>
  <si>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</si>
  <si>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</si>
  <si>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</si>
  <si>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</si>
  <si>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</si>
  <si>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</si>
  <si>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</si>
  <si>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</si>
  <si>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</si>
  <si>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</si>
  <si>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</si>
  <si>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</si>
  <si>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</si>
  <si>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</si>
  <si>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</si>
  <si>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</si>
  <si>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</si>
  <si>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</si>
  <si>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</si>
  <si>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</si>
  <si>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</si>
  <si>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</si>
  <si>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</si>
  <si>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</si>
  <si>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</si>
  <si>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</si>
  <si>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</si>
  <si>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</si>
  <si>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</si>
  <si>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</si>
  <si>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</si>
  <si>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</si>
  <si>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</si>
  <si>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</si>
  <si>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</si>
  <si>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</si>
  <si>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</si>
  <si>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</si>
  <si>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</si>
  <si>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</si>
  <si>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</si>
  <si>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</si>
  <si>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</si>
  <si>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</si>
  <si>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</si>
  <si>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</si>
  <si>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</si>
  <si>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</si>
  <si>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</si>
  <si>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</si>
  <si>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</si>
  <si>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</si>
  <si>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</si>
  <si>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</si>
  <si>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</si>
  <si>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</si>
  <si>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</si>
  <si>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</si>
  <si>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</si>
  <si>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</si>
  <si>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</si>
  <si>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</si>
  <si>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</si>
  <si>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</si>
  <si>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</si>
  <si>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</si>
  <si>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</si>
  <si>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</si>
  <si>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</si>
  <si>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</si>
  <si>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</si>
  <si>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</si>
  <si>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</si>
  <si>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</si>
  <si>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</si>
  <si>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</si>
  <si>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</si>
  <si>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</si>
  <si>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</si>
  <si>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</si>
  <si>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</si>
  <si>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</si>
  <si>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</si>
  <si>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</si>
  <si>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</si>
  <si>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</si>
  <si>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</si>
  <si>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</si>
  <si>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</si>
  <si>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</si>
  <si>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</si>
  <si>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</si>
  <si>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</si>
  <si>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</si>
  <si>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</si>
  <si>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</si>
  <si>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</si>
  <si>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</si>
  <si>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</si>
  <si>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</si>
  <si>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</si>
  <si>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</si>
  <si>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</si>
  <si>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</si>
  <si>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</si>
  <si>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</si>
  <si>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</si>
  <si>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</si>
  <si>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</si>
  <si>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</si>
  <si>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</si>
  <si>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</si>
  <si>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</si>
  <si>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</si>
  <si>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</si>
  <si>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</si>
  <si>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</si>
  <si>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</si>
  <si>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</si>
  <si>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</si>
  <si>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</si>
  <si>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</si>
  <si>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</si>
  <si>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</si>
  <si>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</si>
  <si>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</si>
  <si>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</si>
  <si>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</si>
  <si>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</si>
  <si>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</si>
  <si>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</si>
  <si>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</si>
  <si>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</si>
  <si>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</si>
  <si>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</si>
  <si>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</si>
  <si>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</si>
  <si>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</si>
  <si>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</si>
  <si>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</si>
  <si>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</si>
  <si>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</si>
  <si>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</si>
  <si>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</si>
  <si>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</si>
  <si>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</si>
  <si>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</si>
  <si>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</si>
  <si>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</si>
  <si>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</si>
  <si>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</si>
  <si>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</si>
  <si>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</si>
  <si>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</si>
  <si>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</si>
  <si>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</si>
  <si>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</si>
  <si>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</si>
  <si>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</si>
  <si>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</si>
  <si>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</si>
  <si>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</si>
  <si>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</si>
  <si>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</si>
  <si>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</si>
  <si>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</si>
  <si>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</si>
  <si>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</si>
  <si>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</si>
  <si>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</si>
  <si>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</si>
  <si>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</si>
  <si>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</si>
  <si>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</si>
  <si>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</si>
  <si>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</si>
  <si>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</si>
  <si>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</si>
  <si>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</si>
  <si>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</si>
  <si>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</si>
  <si>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</si>
  <si>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</si>
  <si>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</si>
  <si>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</si>
  <si>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</si>
  <si>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</si>
  <si>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</si>
  <si>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</si>
  <si>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</si>
  <si>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</si>
  <si>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</si>
  <si>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</si>
  <si>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</si>
  <si>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</si>
  <si>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</si>
  <si>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</si>
  <si>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</si>
  <si>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</si>
  <si>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</si>
  <si>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</si>
  <si>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</si>
  <si>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</si>
  <si>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</si>
  <si>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</si>
  <si>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</si>
  <si>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</si>
  <si>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</si>
  <si>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</si>
  <si>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</si>
  <si>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</si>
  <si>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</si>
  <si>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</si>
  <si>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</si>
  <si>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</si>
  <si>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</si>
  <si>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</si>
  <si>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</si>
  <si>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</si>
  <si>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RUMNEY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</si>
</sst>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22" activePane="bottomRight" state="frozen"/>
      <selection pane="topRight" activeCell="F1" sqref="F1"/>
      <selection pane="bottomLeft" activeCell="A4" sqref="A4"/>
      <selection pane="bottomRight" activeCell="F48" sqref="F4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467</v>
      </c>
      <c r="C2" s="21">
        <v>467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310577.07</v>
      </c>
      <c r="G9" s="18">
        <v>-1337.18</v>
      </c>
      <c r="H9" s="18">
        <v>-9771.69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255712.31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5248.98</v>
      </c>
      <c r="G13" s="18">
        <v>12349.98</v>
      </c>
      <c r="H13" s="18">
        <v>11871.69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693.12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316519.17</v>
      </c>
      <c r="G19" s="41">
        <f>SUM(G9:G18)</f>
        <v>11012.8</v>
      </c>
      <c r="H19" s="41">
        <f>SUM(H9:H18)</f>
        <v>2100</v>
      </c>
      <c r="I19" s="41">
        <f>SUM(I9:I18)</f>
        <v>0</v>
      </c>
      <c r="J19" s="41">
        <f>SUM(J9:J18)</f>
        <v>255712.31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27773.34</v>
      </c>
      <c r="G24" s="18">
        <v>2879.5</v>
      </c>
      <c r="H24" s="18">
        <v>2100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27773.34</v>
      </c>
      <c r="G32" s="41">
        <f>SUM(G22:G31)</f>
        <v>2879.5</v>
      </c>
      <c r="H32" s="41">
        <f>SUM(H22:H31)</f>
        <v>2100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60000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 t="s">
        <v>287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8133.3</v>
      </c>
      <c r="H48" s="18"/>
      <c r="I48" s="18"/>
      <c r="J48" s="13">
        <f>SUM(I459)</f>
        <v>255712.31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227853.81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892.02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288745.83</v>
      </c>
      <c r="G51" s="41">
        <f>SUM(G35:G50)</f>
        <v>8133.3</v>
      </c>
      <c r="H51" s="41">
        <f>SUM(H35:H50)</f>
        <v>0</v>
      </c>
      <c r="I51" s="41">
        <f>SUM(I35:I50)</f>
        <v>0</v>
      </c>
      <c r="J51" s="41">
        <f>SUM(J35:J50)</f>
        <v>255712.31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316519.17000000004</v>
      </c>
      <c r="G52" s="41">
        <f>G51+G32</f>
        <v>11012.8</v>
      </c>
      <c r="H52" s="41">
        <f>H51+H32</f>
        <v>2100</v>
      </c>
      <c r="I52" s="41">
        <f>I51+I32</f>
        <v>0</v>
      </c>
      <c r="J52" s="41">
        <f>J51+J32</f>
        <v>255712.31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1753641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1753641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139.86000000000001</v>
      </c>
      <c r="G96" s="18"/>
      <c r="H96" s="18"/>
      <c r="I96" s="18"/>
      <c r="J96" s="18">
        <v>159.26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16108.57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15316.11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15455.970000000001</v>
      </c>
      <c r="G111" s="41">
        <f>SUM(G96:G110)</f>
        <v>16108.57</v>
      </c>
      <c r="H111" s="41">
        <f>SUM(H96:H110)</f>
        <v>0</v>
      </c>
      <c r="I111" s="41">
        <f>SUM(I96:I110)</f>
        <v>0</v>
      </c>
      <c r="J111" s="41">
        <f>SUM(J96:J110)</f>
        <v>159.26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1769096.97</v>
      </c>
      <c r="G112" s="41">
        <f>G60+G111</f>
        <v>16108.57</v>
      </c>
      <c r="H112" s="41">
        <f>H60+H79+H94+H111</f>
        <v>0</v>
      </c>
      <c r="I112" s="41">
        <f>I60+I111</f>
        <v>0</v>
      </c>
      <c r="J112" s="41">
        <f>J60+J111</f>
        <v>159.26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447989.85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243778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691767.85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574.75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574.75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691767.85</v>
      </c>
      <c r="G140" s="41">
        <f>G121+SUM(G136:G137)</f>
        <v>574.75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78660.91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4135.4799999999996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35478.33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36450.199999999997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942</v>
      </c>
      <c r="I161" s="18" t="s">
        <v>287</v>
      </c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36450.199999999997</v>
      </c>
      <c r="G162" s="41">
        <f>SUM(G150:G161)</f>
        <v>35478.33</v>
      </c>
      <c r="H162" s="41">
        <f>SUM(H150:H161)</f>
        <v>83738.39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7353.87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43804.07</v>
      </c>
      <c r="G169" s="41">
        <f>G147+G162+SUM(G163:G168)</f>
        <v>35478.33</v>
      </c>
      <c r="H169" s="41">
        <f>H147+H162+SUM(H163:H168)</f>
        <v>83738.39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24209</v>
      </c>
      <c r="H179" s="18"/>
      <c r="I179" s="18"/>
      <c r="J179" s="18">
        <v>105000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24209</v>
      </c>
      <c r="H183" s="41">
        <f>SUM(H179:H182)</f>
        <v>0</v>
      </c>
      <c r="I183" s="41">
        <f>SUM(I179:I182)</f>
        <v>0</v>
      </c>
      <c r="J183" s="41">
        <f>SUM(J179:J182)</f>
        <v>105000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2750</v>
      </c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2750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2750</v>
      </c>
      <c r="G192" s="41">
        <f>G183+SUM(G188:G191)</f>
        <v>24209</v>
      </c>
      <c r="H192" s="41">
        <f>+H183+SUM(H188:H191)</f>
        <v>0</v>
      </c>
      <c r="I192" s="41">
        <f>I177+I183+SUM(I188:I191)</f>
        <v>0</v>
      </c>
      <c r="J192" s="41">
        <f>J183</f>
        <v>105000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2507418.8899999997</v>
      </c>
      <c r="G193" s="47">
        <f>G112+G140+G169+G192</f>
        <v>76370.649999999994</v>
      </c>
      <c r="H193" s="47">
        <f>H112+H140+H169+H192</f>
        <v>83738.39</v>
      </c>
      <c r="I193" s="47">
        <f>I112+I140+I169+I192</f>
        <v>0</v>
      </c>
      <c r="J193" s="47">
        <f>J112+J140+J192</f>
        <v>105159.26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530358.5</v>
      </c>
      <c r="G197" s="18">
        <v>259968.24</v>
      </c>
      <c r="H197" s="18">
        <v>5215.3999999999996</v>
      </c>
      <c r="I197" s="18">
        <v>50819.79</v>
      </c>
      <c r="J197" s="18">
        <v>4937.16</v>
      </c>
      <c r="K197" s="18">
        <v>3950.5</v>
      </c>
      <c r="L197" s="19">
        <f>SUM(F197:K197)</f>
        <v>855249.59000000008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188977.16</v>
      </c>
      <c r="G198" s="18">
        <v>61439.040000000001</v>
      </c>
      <c r="H198" s="18">
        <v>188531.71</v>
      </c>
      <c r="I198" s="18">
        <v>49.34</v>
      </c>
      <c r="J198" s="18">
        <v>1538</v>
      </c>
      <c r="K198" s="18"/>
      <c r="L198" s="19">
        <f>SUM(F198:K198)</f>
        <v>440535.25000000006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13133.25</v>
      </c>
      <c r="G200" s="18">
        <v>2046.73</v>
      </c>
      <c r="H200" s="18">
        <v>18594.669999999998</v>
      </c>
      <c r="I200" s="18">
        <v>3899.35</v>
      </c>
      <c r="J200" s="18"/>
      <c r="K200" s="18"/>
      <c r="L200" s="19">
        <f>SUM(F200:K200)</f>
        <v>37673.999999999993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36452.400000000001</v>
      </c>
      <c r="G202" s="18">
        <v>25709.35</v>
      </c>
      <c r="H202" s="18">
        <v>160553.57</v>
      </c>
      <c r="I202" s="18">
        <v>3086.42</v>
      </c>
      <c r="J202" s="18">
        <v>1500</v>
      </c>
      <c r="K202" s="18"/>
      <c r="L202" s="19">
        <f t="shared" ref="L202:L208" si="0">SUM(F202:K202)</f>
        <v>227301.74000000002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>
        <v>9060.15</v>
      </c>
      <c r="H203" s="18">
        <v>21.86</v>
      </c>
      <c r="I203" s="18">
        <v>2604.7399999999998</v>
      </c>
      <c r="J203" s="18"/>
      <c r="K203" s="18"/>
      <c r="L203" s="19">
        <f t="shared" si="0"/>
        <v>11686.75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5850</v>
      </c>
      <c r="G204" s="18">
        <v>423.02</v>
      </c>
      <c r="H204" s="18">
        <v>85509.57</v>
      </c>
      <c r="I204" s="18">
        <v>71.64</v>
      </c>
      <c r="J204" s="18"/>
      <c r="K204" s="18">
        <v>4080.78</v>
      </c>
      <c r="L204" s="19">
        <f t="shared" si="0"/>
        <v>95935.010000000009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129495.02</v>
      </c>
      <c r="G205" s="18">
        <v>54257.08</v>
      </c>
      <c r="H205" s="18">
        <v>5120.84</v>
      </c>
      <c r="I205" s="18">
        <v>2474.36</v>
      </c>
      <c r="J205" s="18"/>
      <c r="K205" s="18">
        <v>531.76</v>
      </c>
      <c r="L205" s="19">
        <f t="shared" si="0"/>
        <v>191879.06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64140.3</v>
      </c>
      <c r="G207" s="18">
        <v>30873.84</v>
      </c>
      <c r="H207" s="18">
        <v>50147.67</v>
      </c>
      <c r="I207" s="18">
        <v>67371.14</v>
      </c>
      <c r="J207" s="18">
        <v>139.30000000000001</v>
      </c>
      <c r="K207" s="18"/>
      <c r="L207" s="19">
        <f t="shared" si="0"/>
        <v>212672.25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128121.65</v>
      </c>
      <c r="I208" s="18"/>
      <c r="J208" s="18"/>
      <c r="K208" s="18"/>
      <c r="L208" s="19">
        <f t="shared" si="0"/>
        <v>128121.65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968406.63000000012</v>
      </c>
      <c r="G211" s="41">
        <f t="shared" si="1"/>
        <v>443777.45</v>
      </c>
      <c r="H211" s="41">
        <f t="shared" si="1"/>
        <v>641816.93999999994</v>
      </c>
      <c r="I211" s="41">
        <f t="shared" si="1"/>
        <v>130376.78</v>
      </c>
      <c r="J211" s="41">
        <f t="shared" si="1"/>
        <v>8114.46</v>
      </c>
      <c r="K211" s="41">
        <f t="shared" si="1"/>
        <v>8563.0400000000009</v>
      </c>
      <c r="L211" s="41">
        <f t="shared" si="1"/>
        <v>2201055.3000000003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102722.67</v>
      </c>
      <c r="I255" s="18"/>
      <c r="J255" s="18"/>
      <c r="K255" s="18"/>
      <c r="L255" s="19">
        <f t="shared" si="6"/>
        <v>102722.67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102722.67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102722.67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968406.63000000012</v>
      </c>
      <c r="G257" s="41">
        <f t="shared" si="8"/>
        <v>443777.45</v>
      </c>
      <c r="H257" s="41">
        <f t="shared" si="8"/>
        <v>744539.61</v>
      </c>
      <c r="I257" s="41">
        <f t="shared" si="8"/>
        <v>130376.78</v>
      </c>
      <c r="J257" s="41">
        <f t="shared" si="8"/>
        <v>8114.46</v>
      </c>
      <c r="K257" s="41">
        <f t="shared" si="8"/>
        <v>8563.0400000000009</v>
      </c>
      <c r="L257" s="41">
        <f t="shared" si="8"/>
        <v>2303777.9700000002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24209</v>
      </c>
      <c r="L263" s="19">
        <f>SUM(F263:K263)</f>
        <v>24209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105000</v>
      </c>
      <c r="L266" s="19">
        <f t="shared" si="9"/>
        <v>105000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129209</v>
      </c>
      <c r="L270" s="41">
        <f t="shared" si="9"/>
        <v>129209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968406.63000000012</v>
      </c>
      <c r="G271" s="42">
        <f t="shared" si="11"/>
        <v>443777.45</v>
      </c>
      <c r="H271" s="42">
        <f t="shared" si="11"/>
        <v>744539.61</v>
      </c>
      <c r="I271" s="42">
        <f t="shared" si="11"/>
        <v>130376.78</v>
      </c>
      <c r="J271" s="42">
        <f t="shared" si="11"/>
        <v>8114.46</v>
      </c>
      <c r="K271" s="42">
        <f t="shared" si="11"/>
        <v>137772.04</v>
      </c>
      <c r="L271" s="42">
        <f t="shared" si="11"/>
        <v>2432986.9700000002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55958.98</v>
      </c>
      <c r="G277" s="18">
        <v>10234.299999999999</v>
      </c>
      <c r="H277" s="18"/>
      <c r="I277" s="18">
        <v>3728.65</v>
      </c>
      <c r="J277" s="18"/>
      <c r="K277" s="18"/>
      <c r="L277" s="19">
        <f>SUM(F277:K277)</f>
        <v>69921.929999999993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>
        <v>1792</v>
      </c>
      <c r="J279" s="18"/>
      <c r="K279" s="18"/>
      <c r="L279" s="19">
        <f>SUM(F279:K279)</f>
        <v>1792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>
        <v>2131.2600000000002</v>
      </c>
      <c r="H282" s="18">
        <v>2410.41</v>
      </c>
      <c r="I282" s="18"/>
      <c r="J282" s="18"/>
      <c r="K282" s="18"/>
      <c r="L282" s="19">
        <f t="shared" si="12"/>
        <v>4541.67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5707.21</v>
      </c>
      <c r="G283" s="18"/>
      <c r="H283" s="18"/>
      <c r="I283" s="18"/>
      <c r="J283" s="18"/>
      <c r="K283" s="18"/>
      <c r="L283" s="19">
        <f t="shared" si="12"/>
        <v>5707.21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1675.58</v>
      </c>
      <c r="L285" s="19">
        <f t="shared" si="12"/>
        <v>1675.58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100</v>
      </c>
      <c r="I287" s="18"/>
      <c r="J287" s="18"/>
      <c r="K287" s="18"/>
      <c r="L287" s="19">
        <f t="shared" si="12"/>
        <v>100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61666.19</v>
      </c>
      <c r="G290" s="42">
        <f t="shared" si="13"/>
        <v>12365.56</v>
      </c>
      <c r="H290" s="42">
        <f t="shared" si="13"/>
        <v>2510.41</v>
      </c>
      <c r="I290" s="42">
        <f t="shared" si="13"/>
        <v>5520.65</v>
      </c>
      <c r="J290" s="42">
        <f t="shared" si="13"/>
        <v>0</v>
      </c>
      <c r="K290" s="42">
        <f t="shared" si="13"/>
        <v>1675.58</v>
      </c>
      <c r="L290" s="41">
        <f t="shared" si="13"/>
        <v>83738.39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61666.19</v>
      </c>
      <c r="G338" s="41">
        <f t="shared" si="20"/>
        <v>12365.56</v>
      </c>
      <c r="H338" s="41">
        <f t="shared" si="20"/>
        <v>2510.41</v>
      </c>
      <c r="I338" s="41">
        <f t="shared" si="20"/>
        <v>5520.65</v>
      </c>
      <c r="J338" s="41">
        <f t="shared" si="20"/>
        <v>0</v>
      </c>
      <c r="K338" s="41">
        <f t="shared" si="20"/>
        <v>1675.58</v>
      </c>
      <c r="L338" s="41">
        <f t="shared" si="20"/>
        <v>83738.39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61666.19</v>
      </c>
      <c r="G352" s="41">
        <f>G338</f>
        <v>12365.56</v>
      </c>
      <c r="H352" s="41">
        <f>H338</f>
        <v>2510.41</v>
      </c>
      <c r="I352" s="41">
        <f>I338</f>
        <v>5520.65</v>
      </c>
      <c r="J352" s="41">
        <f>J338</f>
        <v>0</v>
      </c>
      <c r="K352" s="47">
        <f>K338+K351</f>
        <v>1675.58</v>
      </c>
      <c r="L352" s="41">
        <f>L338+L351</f>
        <v>83738.39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82530</v>
      </c>
      <c r="I358" s="18"/>
      <c r="J358" s="18"/>
      <c r="K358" s="18"/>
      <c r="L358" s="13">
        <f>SUM(F358:K358)</f>
        <v>82530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82530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82530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>
        <v>0.86</v>
      </c>
      <c r="I387" s="18"/>
      <c r="J387" s="24" t="s">
        <v>289</v>
      </c>
      <c r="K387" s="24" t="s">
        <v>289</v>
      </c>
      <c r="L387" s="56">
        <f t="shared" ref="L387:L392" si="25">SUM(F387:K387)</f>
        <v>0.86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0.86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0.86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105000</v>
      </c>
      <c r="H396" s="18">
        <v>31</v>
      </c>
      <c r="I396" s="18"/>
      <c r="J396" s="24" t="s">
        <v>289</v>
      </c>
      <c r="K396" s="24" t="s">
        <v>289</v>
      </c>
      <c r="L396" s="56">
        <f t="shared" si="26"/>
        <v>105031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127.4</v>
      </c>
      <c r="I397" s="18"/>
      <c r="J397" s="24" t="s">
        <v>289</v>
      </c>
      <c r="K397" s="24" t="s">
        <v>289</v>
      </c>
      <c r="L397" s="56">
        <f t="shared" si="26"/>
        <v>127.4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105000</v>
      </c>
      <c r="H401" s="47">
        <f>SUM(H395:H400)</f>
        <v>158.4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105158.39999999999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105000</v>
      </c>
      <c r="H408" s="47">
        <f>H393+H401+H407</f>
        <v>159.26000000000002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105159.26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255712.31</v>
      </c>
      <c r="G440" s="18"/>
      <c r="H440" s="18"/>
      <c r="I440" s="56">
        <f t="shared" si="33"/>
        <v>255712.31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255712.31</v>
      </c>
      <c r="G446" s="13">
        <f>SUM(G439:G445)</f>
        <v>0</v>
      </c>
      <c r="H446" s="13">
        <f>SUM(H439:H445)</f>
        <v>0</v>
      </c>
      <c r="I446" s="13">
        <f>SUM(I439:I445)</f>
        <v>255712.31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255712.31</v>
      </c>
      <c r="G459" s="18"/>
      <c r="H459" s="18"/>
      <c r="I459" s="56">
        <f t="shared" si="34"/>
        <v>255712.31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255712.31</v>
      </c>
      <c r="G460" s="83">
        <f>SUM(G454:G459)</f>
        <v>0</v>
      </c>
      <c r="H460" s="83">
        <f>SUM(H454:H459)</f>
        <v>0</v>
      </c>
      <c r="I460" s="83">
        <f>SUM(I454:I459)</f>
        <v>255712.31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255712.31</v>
      </c>
      <c r="G461" s="42">
        <f>G452+G460</f>
        <v>0</v>
      </c>
      <c r="H461" s="42">
        <f>H452+H460</f>
        <v>0</v>
      </c>
      <c r="I461" s="42">
        <f>I452+I460</f>
        <v>255712.31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214313.91</v>
      </c>
      <c r="G465" s="18">
        <v>14292.65</v>
      </c>
      <c r="H465" s="18">
        <v>0</v>
      </c>
      <c r="I465" s="18">
        <v>0</v>
      </c>
      <c r="J465" s="18">
        <v>150553.04999999999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2507418.89</v>
      </c>
      <c r="G468" s="18">
        <v>76370.649999999994</v>
      </c>
      <c r="H468" s="18">
        <v>83738.39</v>
      </c>
      <c r="I468" s="18"/>
      <c r="J468" s="18">
        <v>105159.26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2507418.89</v>
      </c>
      <c r="G470" s="53">
        <f>SUM(G468:G469)</f>
        <v>76370.649999999994</v>
      </c>
      <c r="H470" s="53">
        <f>SUM(H468:H469)</f>
        <v>83738.39</v>
      </c>
      <c r="I470" s="53">
        <f>SUM(I468:I469)</f>
        <v>0</v>
      </c>
      <c r="J470" s="53">
        <f>SUM(J468:J469)</f>
        <v>105159.26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2432986.9700000002</v>
      </c>
      <c r="G472" s="18">
        <v>82530</v>
      </c>
      <c r="H472" s="18">
        <v>83738.39</v>
      </c>
      <c r="I472" s="18">
        <v>0</v>
      </c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2432986.9700000002</v>
      </c>
      <c r="G474" s="53">
        <f>SUM(G472:G473)</f>
        <v>82530</v>
      </c>
      <c r="H474" s="53">
        <f>SUM(H472:H473)</f>
        <v>83738.39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288745.83000000007</v>
      </c>
      <c r="G476" s="53">
        <f>(G465+G470)- G474</f>
        <v>8133.2999999999884</v>
      </c>
      <c r="H476" s="53">
        <f>(H465+H470)- H474</f>
        <v>0</v>
      </c>
      <c r="I476" s="53">
        <f>(I465+I470)- I474</f>
        <v>0</v>
      </c>
      <c r="J476" s="53">
        <f>(J465+J470)- J474</f>
        <v>255712.31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244936.14</v>
      </c>
      <c r="G521" s="18">
        <v>71673.34</v>
      </c>
      <c r="H521" s="18">
        <v>188531.71</v>
      </c>
      <c r="I521" s="18">
        <v>3777.99</v>
      </c>
      <c r="J521" s="18">
        <v>1538</v>
      </c>
      <c r="K521" s="18"/>
      <c r="L521" s="88">
        <f>SUM(F521:K521)</f>
        <v>510457.17999999993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244936.14</v>
      </c>
      <c r="G524" s="108">
        <f t="shared" ref="G524:L524" si="36">SUM(G521:G523)</f>
        <v>71673.34</v>
      </c>
      <c r="H524" s="108">
        <f t="shared" si="36"/>
        <v>188531.71</v>
      </c>
      <c r="I524" s="108">
        <f t="shared" si="36"/>
        <v>3777.99</v>
      </c>
      <c r="J524" s="108">
        <f t="shared" si="36"/>
        <v>1538</v>
      </c>
      <c r="K524" s="108">
        <f t="shared" si="36"/>
        <v>0</v>
      </c>
      <c r="L524" s="89">
        <f t="shared" si="36"/>
        <v>510457.17999999993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7290.48</v>
      </c>
      <c r="G526" s="18">
        <v>5141.87</v>
      </c>
      <c r="H526" s="18">
        <v>110225.66</v>
      </c>
      <c r="I526" s="18">
        <v>1283.94</v>
      </c>
      <c r="J526" s="18"/>
      <c r="K526" s="18">
        <v>300</v>
      </c>
      <c r="L526" s="88">
        <f>SUM(F526:K526)</f>
        <v>124241.95000000001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7290.48</v>
      </c>
      <c r="G529" s="89">
        <f t="shared" ref="G529:L529" si="37">SUM(G526:G528)</f>
        <v>5141.87</v>
      </c>
      <c r="H529" s="89">
        <f t="shared" si="37"/>
        <v>110225.66</v>
      </c>
      <c r="I529" s="89">
        <f t="shared" si="37"/>
        <v>1283.94</v>
      </c>
      <c r="J529" s="89">
        <f t="shared" si="37"/>
        <v>0</v>
      </c>
      <c r="K529" s="89">
        <f t="shared" si="37"/>
        <v>300</v>
      </c>
      <c r="L529" s="89">
        <f t="shared" si="37"/>
        <v>124241.95000000001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6581.46</v>
      </c>
      <c r="G531" s="18">
        <v>2758.88</v>
      </c>
      <c r="H531" s="18">
        <v>140.02000000000001</v>
      </c>
      <c r="I531" s="18"/>
      <c r="J531" s="18"/>
      <c r="K531" s="18"/>
      <c r="L531" s="88">
        <f>SUM(F531:K531)</f>
        <v>9480.36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6581.46</v>
      </c>
      <c r="G534" s="89">
        <f t="shared" ref="G534:L534" si="38">SUM(G531:G533)</f>
        <v>2758.88</v>
      </c>
      <c r="H534" s="89">
        <f t="shared" si="38"/>
        <v>140.02000000000001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9480.36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21449.03</v>
      </c>
      <c r="I541" s="18"/>
      <c r="J541" s="18"/>
      <c r="K541" s="18"/>
      <c r="L541" s="88">
        <f>SUM(F541:K541)</f>
        <v>21449.03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21449.03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21449.03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258808.08000000002</v>
      </c>
      <c r="G545" s="89">
        <f t="shared" ref="G545:L545" si="41">G524+G529+G534+G539+G544</f>
        <v>79574.09</v>
      </c>
      <c r="H545" s="89">
        <f t="shared" si="41"/>
        <v>320346.42000000004</v>
      </c>
      <c r="I545" s="89">
        <f t="shared" si="41"/>
        <v>5061.93</v>
      </c>
      <c r="J545" s="89">
        <f t="shared" si="41"/>
        <v>1538</v>
      </c>
      <c r="K545" s="89">
        <f t="shared" si="41"/>
        <v>300</v>
      </c>
      <c r="L545" s="89">
        <f t="shared" si="41"/>
        <v>665628.5199999999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510457.17999999993</v>
      </c>
      <c r="G549" s="87">
        <f>L526</f>
        <v>124241.95000000001</v>
      </c>
      <c r="H549" s="87">
        <f>L531</f>
        <v>9480.36</v>
      </c>
      <c r="I549" s="87">
        <f>L536</f>
        <v>0</v>
      </c>
      <c r="J549" s="87">
        <f>L541</f>
        <v>21449.03</v>
      </c>
      <c r="K549" s="87">
        <f>SUM(F549:J549)</f>
        <v>665628.5199999999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510457.17999999993</v>
      </c>
      <c r="G552" s="89">
        <f t="shared" si="42"/>
        <v>124241.95000000001</v>
      </c>
      <c r="H552" s="89">
        <f t="shared" si="42"/>
        <v>9480.36</v>
      </c>
      <c r="I552" s="89">
        <f t="shared" si="42"/>
        <v>0</v>
      </c>
      <c r="J552" s="89">
        <f t="shared" si="42"/>
        <v>21449.03</v>
      </c>
      <c r="K552" s="89">
        <f t="shared" si="42"/>
        <v>665628.5199999999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149860.66</v>
      </c>
      <c r="G579" s="18"/>
      <c r="H579" s="18"/>
      <c r="I579" s="87">
        <f t="shared" si="47"/>
        <v>149860.66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96987.62</v>
      </c>
      <c r="I591" s="18"/>
      <c r="J591" s="18"/>
      <c r="K591" s="104">
        <f t="shared" ref="K591:K597" si="48">SUM(H591:J591)</f>
        <v>96987.62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21349.03</v>
      </c>
      <c r="I592" s="18"/>
      <c r="J592" s="18"/>
      <c r="K592" s="104">
        <f t="shared" si="48"/>
        <v>21349.03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3210</v>
      </c>
      <c r="I594" s="18"/>
      <c r="J594" s="18"/>
      <c r="K594" s="104">
        <f t="shared" si="48"/>
        <v>3210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6575</v>
      </c>
      <c r="I595" s="18"/>
      <c r="J595" s="18"/>
      <c r="K595" s="104">
        <f t="shared" si="48"/>
        <v>6575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128121.65</v>
      </c>
      <c r="I598" s="108">
        <f>SUM(I591:I597)</f>
        <v>0</v>
      </c>
      <c r="J598" s="108">
        <f>SUM(J591:J597)</f>
        <v>0</v>
      </c>
      <c r="K598" s="108">
        <f>SUM(K591:K597)</f>
        <v>128121.65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8114.46</v>
      </c>
      <c r="I604" s="18"/>
      <c r="J604" s="18"/>
      <c r="K604" s="104">
        <f>SUM(H604:J604)</f>
        <v>8114.46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8114.46</v>
      </c>
      <c r="I605" s="108">
        <f>SUM(I602:I604)</f>
        <v>0</v>
      </c>
      <c r="J605" s="108">
        <f>SUM(J602:J604)</f>
        <v>0</v>
      </c>
      <c r="K605" s="108">
        <f>SUM(K602:K604)</f>
        <v>8114.46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316519.17</v>
      </c>
      <c r="H617" s="109">
        <f>SUM(F52)</f>
        <v>316519.17000000004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11012.8</v>
      </c>
      <c r="H618" s="109">
        <f>SUM(G52)</f>
        <v>11012.8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2100</v>
      </c>
      <c r="H619" s="109">
        <f>SUM(H52)</f>
        <v>2100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255712.31</v>
      </c>
      <c r="H621" s="109">
        <f>SUM(J52)</f>
        <v>255712.31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288745.83</v>
      </c>
      <c r="H622" s="109">
        <f>F476</f>
        <v>288745.83000000007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8133.3</v>
      </c>
      <c r="H623" s="109">
        <f>G476</f>
        <v>8133.2999999999884</v>
      </c>
      <c r="I623" s="121" t="s">
        <v>102</v>
      </c>
      <c r="J623" s="109">
        <f t="shared" si="50"/>
        <v>1.1823431123048067E-11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255712.31</v>
      </c>
      <c r="H626" s="109">
        <f>J476</f>
        <v>255712.31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2507418.8899999997</v>
      </c>
      <c r="H627" s="104">
        <f>SUM(F468)</f>
        <v>2507418.89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76370.649999999994</v>
      </c>
      <c r="H628" s="104">
        <f>SUM(G468)</f>
        <v>76370.649999999994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83738.39</v>
      </c>
      <c r="H629" s="104">
        <f>SUM(H468)</f>
        <v>83738.39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105159.26</v>
      </c>
      <c r="H631" s="104">
        <f>SUM(J468)</f>
        <v>105159.26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2432986.9700000002</v>
      </c>
      <c r="H632" s="104">
        <f>SUM(F472)</f>
        <v>2432986.9700000002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83738.39</v>
      </c>
      <c r="H633" s="104">
        <f>SUM(H472)</f>
        <v>83738.39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82530</v>
      </c>
      <c r="H635" s="104">
        <f>SUM(G472)</f>
        <v>82530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105159.26</v>
      </c>
      <c r="H637" s="164">
        <f>SUM(J468)</f>
        <v>105159.26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255712.31</v>
      </c>
      <c r="H639" s="104">
        <f>SUM(F461)</f>
        <v>255712.31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255712.31</v>
      </c>
      <c r="H642" s="104">
        <f>SUM(I461)</f>
        <v>255712.31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159.26</v>
      </c>
      <c r="H644" s="104">
        <f>H408</f>
        <v>159.26000000000002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105000</v>
      </c>
      <c r="H645" s="104">
        <f>G408</f>
        <v>105000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105159.26</v>
      </c>
      <c r="H646" s="104">
        <f>L408</f>
        <v>105159.26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128121.65</v>
      </c>
      <c r="H647" s="104">
        <f>L208+L226+L244</f>
        <v>128121.65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8114.46</v>
      </c>
      <c r="H648" s="104">
        <f>(J257+J338)-(J255+J336)</f>
        <v>8114.46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128121.65</v>
      </c>
      <c r="H649" s="104">
        <f>H598</f>
        <v>128121.65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24209</v>
      </c>
      <c r="H652" s="104">
        <f>K263+K345</f>
        <v>24209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105000</v>
      </c>
      <c r="H655" s="104">
        <f>K266+K347</f>
        <v>105000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2367323.6900000004</v>
      </c>
      <c r="G660" s="19">
        <f>(L229+L309+L359)</f>
        <v>0</v>
      </c>
      <c r="H660" s="19">
        <f>(L247+L328+L360)</f>
        <v>0</v>
      </c>
      <c r="I660" s="19">
        <f>SUM(F660:H660)</f>
        <v>2367323.6900000004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16108.57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16108.57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128221.65</v>
      </c>
      <c r="G662" s="19">
        <f>(L226+L306)-(J226+J306)</f>
        <v>0</v>
      </c>
      <c r="H662" s="19">
        <f>(L244+L325)-(J244+J325)</f>
        <v>0</v>
      </c>
      <c r="I662" s="19">
        <f>SUM(F662:H662)</f>
        <v>128221.65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157975.12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157975.12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2065018.3500000006</v>
      </c>
      <c r="G664" s="19">
        <f>G660-SUM(G661:G663)</f>
        <v>0</v>
      </c>
      <c r="H664" s="19">
        <f>H660-SUM(H661:H663)</f>
        <v>0</v>
      </c>
      <c r="I664" s="19">
        <f>I660-SUM(I661:I663)</f>
        <v>2065018.3500000006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108.61</v>
      </c>
      <c r="G665" s="248"/>
      <c r="H665" s="248"/>
      <c r="I665" s="19">
        <f>SUM(F665:H665)</f>
        <v>108.61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19013.150000000001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19013.150000000001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19013.150000000001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19013.150000000001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7" sqref="B3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RUMNEY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530358.5</v>
      </c>
      <c r="C9" s="229">
        <f>'DOE25'!G197+'DOE25'!G215+'DOE25'!G233+'DOE25'!G276+'DOE25'!G295+'DOE25'!G314</f>
        <v>259968.24</v>
      </c>
    </row>
    <row r="10" spans="1:3" x14ac:dyDescent="0.2">
      <c r="A10" t="s">
        <v>779</v>
      </c>
      <c r="B10" s="240">
        <v>507947.02</v>
      </c>
      <c r="C10" s="240">
        <v>259688.94</v>
      </c>
    </row>
    <row r="11" spans="1:3" x14ac:dyDescent="0.2">
      <c r="A11" t="s">
        <v>780</v>
      </c>
      <c r="B11" s="240"/>
      <c r="C11" s="240" t="s">
        <v>287</v>
      </c>
    </row>
    <row r="12" spans="1:3" x14ac:dyDescent="0.2">
      <c r="A12" t="s">
        <v>781</v>
      </c>
      <c r="B12" s="240">
        <v>22411.48</v>
      </c>
      <c r="C12" s="240">
        <v>279.3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530358.5</v>
      </c>
      <c r="C13" s="231">
        <f>SUM(C10:C12)</f>
        <v>259968.24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244936.14</v>
      </c>
      <c r="C18" s="229">
        <f>'DOE25'!G198+'DOE25'!G216+'DOE25'!G234+'DOE25'!G277+'DOE25'!G296+'DOE25'!G315</f>
        <v>71673.34</v>
      </c>
    </row>
    <row r="19" spans="1:3" x14ac:dyDescent="0.2">
      <c r="A19" t="s">
        <v>779</v>
      </c>
      <c r="B19" s="240">
        <v>119845.98</v>
      </c>
      <c r="C19" s="240">
        <v>55064.75</v>
      </c>
    </row>
    <row r="20" spans="1:3" x14ac:dyDescent="0.2">
      <c r="A20" t="s">
        <v>780</v>
      </c>
      <c r="B20" s="240">
        <v>121112.66</v>
      </c>
      <c r="C20" s="240">
        <v>16384.419999999998</v>
      </c>
    </row>
    <row r="21" spans="1:3" x14ac:dyDescent="0.2">
      <c r="A21" t="s">
        <v>781</v>
      </c>
      <c r="B21" s="240">
        <v>3977.5</v>
      </c>
      <c r="C21" s="240">
        <v>224.17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244936.14</v>
      </c>
      <c r="C22" s="231">
        <f>SUM(C19:C21)</f>
        <v>71673.34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13133.25</v>
      </c>
      <c r="C36" s="235">
        <f>'DOE25'!G200+'DOE25'!G218+'DOE25'!G236+'DOE25'!G279+'DOE25'!G298+'DOE25'!G317</f>
        <v>2046.73</v>
      </c>
    </row>
    <row r="37" spans="1:3" x14ac:dyDescent="0.2">
      <c r="A37" t="s">
        <v>779</v>
      </c>
      <c r="B37" s="240">
        <v>13133.25</v>
      </c>
      <c r="C37" s="240">
        <v>2046.73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13133.25</v>
      </c>
      <c r="C40" s="231">
        <f>SUM(C37:C39)</f>
        <v>2046.73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RUMNEY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1333458.8400000001</v>
      </c>
      <c r="D5" s="20">
        <f>SUM('DOE25'!L197:L200)+SUM('DOE25'!L215:L218)+SUM('DOE25'!L233:L236)-F5-G5</f>
        <v>1323033.1800000002</v>
      </c>
      <c r="E5" s="243"/>
      <c r="F5" s="255">
        <f>SUM('DOE25'!J197:J200)+SUM('DOE25'!J215:J218)+SUM('DOE25'!J233:J236)</f>
        <v>6475.16</v>
      </c>
      <c r="G5" s="53">
        <f>SUM('DOE25'!K197:K200)+SUM('DOE25'!K215:K218)+SUM('DOE25'!K233:K236)</f>
        <v>3950.5</v>
      </c>
      <c r="H5" s="259"/>
    </row>
    <row r="6" spans="1:9" x14ac:dyDescent="0.2">
      <c r="A6" s="32">
        <v>2100</v>
      </c>
      <c r="B6" t="s">
        <v>801</v>
      </c>
      <c r="C6" s="245">
        <f t="shared" si="0"/>
        <v>227301.74000000002</v>
      </c>
      <c r="D6" s="20">
        <f>'DOE25'!L202+'DOE25'!L220+'DOE25'!L238-F6-G6</f>
        <v>225801.74000000002</v>
      </c>
      <c r="E6" s="243"/>
      <c r="F6" s="255">
        <f>'DOE25'!J202+'DOE25'!J220+'DOE25'!J238</f>
        <v>1500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11686.75</v>
      </c>
      <c r="D7" s="20">
        <f>'DOE25'!L203+'DOE25'!L221+'DOE25'!L239-F7-G7</f>
        <v>11686.75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44826.350000000013</v>
      </c>
      <c r="D8" s="243"/>
      <c r="E8" s="20">
        <f>'DOE25'!L204+'DOE25'!L222+'DOE25'!L240-F8-G8-D9-D11</f>
        <v>40745.570000000014</v>
      </c>
      <c r="F8" s="255">
        <f>'DOE25'!J204+'DOE25'!J222+'DOE25'!J240</f>
        <v>0</v>
      </c>
      <c r="G8" s="53">
        <f>'DOE25'!K204+'DOE25'!K222+'DOE25'!K240</f>
        <v>4080.78</v>
      </c>
      <c r="H8" s="259"/>
    </row>
    <row r="9" spans="1:9" x14ac:dyDescent="0.2">
      <c r="A9" s="32">
        <v>2310</v>
      </c>
      <c r="B9" t="s">
        <v>818</v>
      </c>
      <c r="C9" s="245">
        <f t="shared" si="0"/>
        <v>19125.009999999998</v>
      </c>
      <c r="D9" s="244">
        <v>19125.009999999998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4000</v>
      </c>
      <c r="D10" s="243"/>
      <c r="E10" s="244">
        <v>4000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31983.65</v>
      </c>
      <c r="D11" s="244">
        <v>31983.65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191879.06</v>
      </c>
      <c r="D12" s="20">
        <f>'DOE25'!L205+'DOE25'!L223+'DOE25'!L241-F12-G12</f>
        <v>191347.3</v>
      </c>
      <c r="E12" s="243"/>
      <c r="F12" s="255">
        <f>'DOE25'!J205+'DOE25'!J223+'DOE25'!J241</f>
        <v>0</v>
      </c>
      <c r="G12" s="53">
        <f>'DOE25'!K205+'DOE25'!K223+'DOE25'!K241</f>
        <v>531.76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212672.25</v>
      </c>
      <c r="D14" s="20">
        <f>'DOE25'!L207+'DOE25'!L225+'DOE25'!L243-F14-G14</f>
        <v>212532.95</v>
      </c>
      <c r="E14" s="243"/>
      <c r="F14" s="255">
        <f>'DOE25'!J207+'DOE25'!J225+'DOE25'!J243</f>
        <v>139.30000000000001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128121.65</v>
      </c>
      <c r="D15" s="20">
        <f>'DOE25'!L208+'DOE25'!L226+'DOE25'!L244-F15-G15</f>
        <v>128121.65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102722.67</v>
      </c>
      <c r="D22" s="243"/>
      <c r="E22" s="243"/>
      <c r="F22" s="255">
        <f>'DOE25'!L255+'DOE25'!L336</f>
        <v>102722.67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82530</v>
      </c>
      <c r="D29" s="20">
        <f>'DOE25'!L358+'DOE25'!L359+'DOE25'!L360-'DOE25'!I367-F29-G29</f>
        <v>82530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83738.39</v>
      </c>
      <c r="D31" s="20">
        <f>'DOE25'!L290+'DOE25'!L309+'DOE25'!L328+'DOE25'!L333+'DOE25'!L334+'DOE25'!L335-F31-G31</f>
        <v>82062.81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1675.58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2308225.04</v>
      </c>
      <c r="E33" s="246">
        <f>SUM(E5:E31)</f>
        <v>44745.570000000014</v>
      </c>
      <c r="F33" s="246">
        <f>SUM(F5:F31)</f>
        <v>110837.13</v>
      </c>
      <c r="G33" s="246">
        <f>SUM(G5:G31)</f>
        <v>10238.620000000001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44745.570000000014</v>
      </c>
      <c r="E35" s="249"/>
    </row>
    <row r="36" spans="2:8" ht="12" thickTop="1" x14ac:dyDescent="0.2">
      <c r="B36" t="s">
        <v>815</v>
      </c>
      <c r="D36" s="20">
        <f>D33</f>
        <v>2308225.04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RUMNEY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310577.07</v>
      </c>
      <c r="D8" s="95">
        <f>'DOE25'!G9</f>
        <v>-1337.18</v>
      </c>
      <c r="E8" s="95">
        <f>'DOE25'!H9</f>
        <v>-9771.69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255712.31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5248.98</v>
      </c>
      <c r="D12" s="95">
        <f>'DOE25'!G13</f>
        <v>12349.98</v>
      </c>
      <c r="E12" s="95">
        <f>'DOE25'!H13</f>
        <v>11871.69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693.12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316519.17</v>
      </c>
      <c r="D18" s="41">
        <f>SUM(D8:D17)</f>
        <v>11012.8</v>
      </c>
      <c r="E18" s="41">
        <f>SUM(E8:E17)</f>
        <v>2100</v>
      </c>
      <c r="F18" s="41">
        <f>SUM(F8:F17)</f>
        <v>0</v>
      </c>
      <c r="G18" s="41">
        <f>SUM(G8:G17)</f>
        <v>255712.31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27773.34</v>
      </c>
      <c r="D23" s="95">
        <f>'DOE25'!G24</f>
        <v>2879.5</v>
      </c>
      <c r="E23" s="95">
        <f>'DOE25'!H24</f>
        <v>2100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27773.34</v>
      </c>
      <c r="D31" s="41">
        <f>SUM(D21:D30)</f>
        <v>2879.5</v>
      </c>
      <c r="E31" s="41">
        <f>SUM(E21:E30)</f>
        <v>2100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60000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 t="str">
        <f>'DOE25'!F45</f>
        <v xml:space="preserve"> 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8133.3</v>
      </c>
      <c r="E47" s="95">
        <f>'DOE25'!H48</f>
        <v>0</v>
      </c>
      <c r="F47" s="95">
        <f>'DOE25'!I48</f>
        <v>0</v>
      </c>
      <c r="G47" s="95">
        <f>'DOE25'!J48</f>
        <v>255712.31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227853.81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892.02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288745.83</v>
      </c>
      <c r="D50" s="41">
        <f>SUM(D34:D49)</f>
        <v>8133.3</v>
      </c>
      <c r="E50" s="41">
        <f>SUM(E34:E49)</f>
        <v>0</v>
      </c>
      <c r="F50" s="41">
        <f>SUM(F34:F49)</f>
        <v>0</v>
      </c>
      <c r="G50" s="41">
        <f>SUM(G34:G49)</f>
        <v>255712.31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316519.17000000004</v>
      </c>
      <c r="D51" s="41">
        <f>D50+D31</f>
        <v>11012.8</v>
      </c>
      <c r="E51" s="41">
        <f>E50+E31</f>
        <v>2100</v>
      </c>
      <c r="F51" s="41">
        <f>F50+F31</f>
        <v>0</v>
      </c>
      <c r="G51" s="41">
        <f>G50+G31</f>
        <v>255712.31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1753641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139.86000000000001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159.26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16108.57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15316.11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15455.970000000001</v>
      </c>
      <c r="D62" s="130">
        <f>SUM(D57:D61)</f>
        <v>16108.57</v>
      </c>
      <c r="E62" s="130">
        <f>SUM(E57:E61)</f>
        <v>0</v>
      </c>
      <c r="F62" s="130">
        <f>SUM(F57:F61)</f>
        <v>0</v>
      </c>
      <c r="G62" s="130">
        <f>SUM(G57:G61)</f>
        <v>159.26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1769096.97</v>
      </c>
      <c r="D63" s="22">
        <f>D56+D62</f>
        <v>16108.57</v>
      </c>
      <c r="E63" s="22">
        <f>E56+E62</f>
        <v>0</v>
      </c>
      <c r="F63" s="22">
        <f>F56+F62</f>
        <v>0</v>
      </c>
      <c r="G63" s="22">
        <f>G56+G62</f>
        <v>159.26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447989.85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243778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691767.85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574.75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574.75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691767.85</v>
      </c>
      <c r="D81" s="130">
        <f>SUM(D79:D80)+D78+D70</f>
        <v>574.75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36450.199999999997</v>
      </c>
      <c r="D88" s="95">
        <f>SUM('DOE25'!G153:G161)</f>
        <v>35478.33</v>
      </c>
      <c r="E88" s="95">
        <f>SUM('DOE25'!H153:H161)</f>
        <v>83738.39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7353.87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43804.07</v>
      </c>
      <c r="D91" s="131">
        <f>SUM(D85:D90)</f>
        <v>35478.33</v>
      </c>
      <c r="E91" s="131">
        <f>SUM(E85:E90)</f>
        <v>83738.39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24209</v>
      </c>
      <c r="E96" s="95">
        <f>'DOE25'!H179</f>
        <v>0</v>
      </c>
      <c r="F96" s="95">
        <f>'DOE25'!I179</f>
        <v>0</v>
      </c>
      <c r="G96" s="95">
        <f>'DOE25'!J179</f>
        <v>105000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2750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2750</v>
      </c>
      <c r="D103" s="86">
        <f>SUM(D93:D102)</f>
        <v>24209</v>
      </c>
      <c r="E103" s="86">
        <f>SUM(E93:E102)</f>
        <v>0</v>
      </c>
      <c r="F103" s="86">
        <f>SUM(F93:F102)</f>
        <v>0</v>
      </c>
      <c r="G103" s="86">
        <f>SUM(G93:G102)</f>
        <v>105000</v>
      </c>
    </row>
    <row r="104" spans="1:7" ht="12.75" thickTop="1" thickBot="1" x14ac:dyDescent="0.25">
      <c r="A104" s="33" t="s">
        <v>765</v>
      </c>
      <c r="C104" s="86">
        <f>C63+C81+C91+C103</f>
        <v>2507418.8899999997</v>
      </c>
      <c r="D104" s="86">
        <f>D63+D81+D91+D103</f>
        <v>76370.649999999994</v>
      </c>
      <c r="E104" s="86">
        <f>E63+E81+E91+E103</f>
        <v>83738.39</v>
      </c>
      <c r="F104" s="86">
        <f>F63+F81+F91+F103</f>
        <v>0</v>
      </c>
      <c r="G104" s="86">
        <f>G63+G81+G103</f>
        <v>105159.26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855249.59000000008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440535.25000000006</v>
      </c>
      <c r="D110" s="24" t="s">
        <v>289</v>
      </c>
      <c r="E110" s="95">
        <f>('DOE25'!L277)+('DOE25'!L296)+('DOE25'!L315)</f>
        <v>69921.929999999993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37673.999999999993</v>
      </c>
      <c r="D112" s="24" t="s">
        <v>289</v>
      </c>
      <c r="E112" s="95">
        <f>+('DOE25'!L279)+('DOE25'!L298)+('DOE25'!L317)</f>
        <v>1792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1333458.8400000001</v>
      </c>
      <c r="D115" s="86">
        <f>SUM(D109:D114)</f>
        <v>0</v>
      </c>
      <c r="E115" s="86">
        <f>SUM(E109:E114)</f>
        <v>71713.929999999993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227301.74000000002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11686.75</v>
      </c>
      <c r="D119" s="24" t="s">
        <v>289</v>
      </c>
      <c r="E119" s="95">
        <f>+('DOE25'!L282)+('DOE25'!L301)+('DOE25'!L320)</f>
        <v>4541.67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95935.010000000009</v>
      </c>
      <c r="D120" s="24" t="s">
        <v>289</v>
      </c>
      <c r="E120" s="95">
        <f>+('DOE25'!L283)+('DOE25'!L302)+('DOE25'!L321)</f>
        <v>5707.21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191879.06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1675.58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212672.25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128121.65</v>
      </c>
      <c r="D124" s="24" t="s">
        <v>289</v>
      </c>
      <c r="E124" s="95">
        <f>+('DOE25'!L287)+('DOE25'!L306)+('DOE25'!L325)</f>
        <v>100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82530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867596.46000000008</v>
      </c>
      <c r="D128" s="86">
        <f>SUM(D118:D127)</f>
        <v>82530</v>
      </c>
      <c r="E128" s="86">
        <f>SUM(E118:E127)</f>
        <v>12024.460000000001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102722.67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24209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0.86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105158.39999999999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-159.25999999999476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231931.66999999998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2432986.9700000002</v>
      </c>
      <c r="D145" s="86">
        <f>(D115+D128+D144)</f>
        <v>82530</v>
      </c>
      <c r="E145" s="86">
        <f>(E115+E128+E144)</f>
        <v>83738.39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RUMNEY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19013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19013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855250</v>
      </c>
      <c r="D10" s="182">
        <f>ROUND((C10/$C$28)*100,1)</f>
        <v>36.4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510457</v>
      </c>
      <c r="D11" s="182">
        <f>ROUND((C11/$C$28)*100,1)</f>
        <v>21.7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39466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227302</v>
      </c>
      <c r="D15" s="182">
        <f t="shared" ref="D15:D27" si="0">ROUND((C15/$C$28)*100,1)</f>
        <v>9.6999999999999993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16228</v>
      </c>
      <c r="D16" s="182">
        <f t="shared" si="0"/>
        <v>0.7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101642</v>
      </c>
      <c r="D17" s="182">
        <f t="shared" si="0"/>
        <v>4.3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191879</v>
      </c>
      <c r="D18" s="182">
        <f t="shared" si="0"/>
        <v>8.1999999999999993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1676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212672</v>
      </c>
      <c r="D20" s="182">
        <f t="shared" si="0"/>
        <v>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128222</v>
      </c>
      <c r="D21" s="182">
        <f t="shared" si="0"/>
        <v>5.5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66421.429999999993</v>
      </c>
      <c r="D27" s="182">
        <f t="shared" si="0"/>
        <v>2.8</v>
      </c>
    </row>
    <row r="28" spans="1:4" x14ac:dyDescent="0.2">
      <c r="B28" s="187" t="s">
        <v>723</v>
      </c>
      <c r="C28" s="180">
        <f>SUM(C10:C27)</f>
        <v>2351215.4300000002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102723</v>
      </c>
    </row>
    <row r="30" spans="1:4" x14ac:dyDescent="0.2">
      <c r="B30" s="187" t="s">
        <v>729</v>
      </c>
      <c r="C30" s="180">
        <f>SUM(C28:C29)</f>
        <v>2453938.4300000002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1753641</v>
      </c>
      <c r="D35" s="182">
        <f t="shared" ref="D35:D40" si="1">ROUND((C35/$C$41)*100,1)</f>
        <v>66.8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15615.229999999981</v>
      </c>
      <c r="D36" s="182">
        <f t="shared" si="1"/>
        <v>0.6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691768</v>
      </c>
      <c r="D37" s="182">
        <f t="shared" si="1"/>
        <v>26.4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575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163021</v>
      </c>
      <c r="D39" s="182">
        <f t="shared" si="1"/>
        <v>6.2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2624620.23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RUMNEY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2014-08-12T18:05:42Z</cp:lastPrinted>
  <dcterms:created xsi:type="dcterms:W3CDTF">1997-12-04T19:04:30Z</dcterms:created>
  <dcterms:modified xsi:type="dcterms:W3CDTF">2014-12-04T17:37:27Z</dcterms:modified>
</cp:coreProperties>
</file>