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C125" i="2" s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C18" i="10" s="1"/>
  <c r="L223" i="1"/>
  <c r="L241" i="1"/>
  <c r="F14" i="13"/>
  <c r="G14" i="13"/>
  <c r="L207" i="1"/>
  <c r="L225" i="1"/>
  <c r="L243" i="1"/>
  <c r="F15" i="13"/>
  <c r="G15" i="13"/>
  <c r="L208" i="1"/>
  <c r="L226" i="1"/>
  <c r="L244" i="1"/>
  <c r="H662" i="1" s="1"/>
  <c r="I662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G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E119" i="2" s="1"/>
  <c r="L283" i="1"/>
  <c r="E120" i="2" s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F112" i="1" s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5" i="10"/>
  <c r="C19" i="10"/>
  <c r="L250" i="1"/>
  <c r="L332" i="1"/>
  <c r="L254" i="1"/>
  <c r="C25" i="10"/>
  <c r="L268" i="1"/>
  <c r="L269" i="1"/>
  <c r="L349" i="1"/>
  <c r="L350" i="1"/>
  <c r="I665" i="1"/>
  <c r="I670" i="1"/>
  <c r="L229" i="1"/>
  <c r="F661" i="1"/>
  <c r="F662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F552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J552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D18" i="2" s="1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C78" i="2" s="1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C111" i="2"/>
  <c r="E111" i="2"/>
  <c r="E112" i="2"/>
  <c r="C113" i="2"/>
  <c r="E113" i="2"/>
  <c r="C114" i="2"/>
  <c r="E114" i="2"/>
  <c r="D115" i="2"/>
  <c r="F115" i="2"/>
  <c r="G115" i="2"/>
  <c r="C118" i="2"/>
  <c r="E118" i="2"/>
  <c r="C119" i="2"/>
  <c r="E121" i="2"/>
  <c r="C122" i="2"/>
  <c r="E122" i="2"/>
  <c r="E123" i="2"/>
  <c r="E124" i="2"/>
  <c r="E125" i="2"/>
  <c r="F128" i="2"/>
  <c r="G128" i="2"/>
  <c r="C130" i="2"/>
  <c r="E130" i="2"/>
  <c r="F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H617" i="1" s="1"/>
  <c r="G32" i="1"/>
  <c r="G52" i="1" s="1"/>
  <c r="H618" i="1" s="1"/>
  <c r="H32" i="1"/>
  <c r="I32" i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G476" i="1" s="1"/>
  <c r="H623" i="1" s="1"/>
  <c r="J623" i="1" s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5" i="1" s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8" i="1" s="1"/>
  <c r="G647" i="1" s="1"/>
  <c r="K593" i="1"/>
  <c r="K594" i="1"/>
  <c r="K595" i="1"/>
  <c r="K596" i="1"/>
  <c r="K597" i="1"/>
  <c r="H598" i="1"/>
  <c r="H649" i="1" s="1"/>
  <c r="I598" i="1"/>
  <c r="H650" i="1" s="1"/>
  <c r="J598" i="1"/>
  <c r="H651" i="1" s="1"/>
  <c r="J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H647" i="1"/>
  <c r="G649" i="1"/>
  <c r="G650" i="1"/>
  <c r="G651" i="1"/>
  <c r="G652" i="1"/>
  <c r="H652" i="1"/>
  <c r="G653" i="1"/>
  <c r="H653" i="1"/>
  <c r="G654" i="1"/>
  <c r="H654" i="1"/>
  <c r="H655" i="1"/>
  <c r="F192" i="1"/>
  <c r="L256" i="1"/>
  <c r="G164" i="2"/>
  <c r="C18" i="2"/>
  <c r="C26" i="10"/>
  <c r="L328" i="1"/>
  <c r="A31" i="12"/>
  <c r="C70" i="2"/>
  <c r="D62" i="2"/>
  <c r="D63" i="2" s="1"/>
  <c r="D18" i="13"/>
  <c r="C18" i="13" s="1"/>
  <c r="D15" i="13"/>
  <c r="C15" i="13" s="1"/>
  <c r="D17" i="13"/>
  <c r="C17" i="13" s="1"/>
  <c r="D6" i="13"/>
  <c r="C6" i="13" s="1"/>
  <c r="C91" i="2"/>
  <c r="F78" i="2"/>
  <c r="F81" i="2" s="1"/>
  <c r="D31" i="2"/>
  <c r="D50" i="2"/>
  <c r="G157" i="2"/>
  <c r="F18" i="2"/>
  <c r="G161" i="2"/>
  <c r="E103" i="2"/>
  <c r="E62" i="2"/>
  <c r="E63" i="2" s="1"/>
  <c r="E31" i="2"/>
  <c r="G62" i="2"/>
  <c r="D19" i="13"/>
  <c r="C19" i="13" s="1"/>
  <c r="D14" i="13"/>
  <c r="C14" i="13" s="1"/>
  <c r="E13" i="13"/>
  <c r="C13" i="13" s="1"/>
  <c r="E78" i="2"/>
  <c r="E81" i="2" s="1"/>
  <c r="L427" i="1"/>
  <c r="H112" i="1"/>
  <c r="J641" i="1"/>
  <c r="J639" i="1"/>
  <c r="K605" i="1"/>
  <c r="G648" i="1" s="1"/>
  <c r="J571" i="1"/>
  <c r="K571" i="1"/>
  <c r="L433" i="1"/>
  <c r="L419" i="1"/>
  <c r="D81" i="2"/>
  <c r="I169" i="1"/>
  <c r="H169" i="1"/>
  <c r="G552" i="1"/>
  <c r="J644" i="1"/>
  <c r="J643" i="1"/>
  <c r="J476" i="1"/>
  <c r="H626" i="1" s="1"/>
  <c r="H476" i="1"/>
  <c r="H624" i="1" s="1"/>
  <c r="J624" i="1" s="1"/>
  <c r="F476" i="1"/>
  <c r="H622" i="1" s="1"/>
  <c r="I476" i="1"/>
  <c r="H625" i="1" s="1"/>
  <c r="J625" i="1" s="1"/>
  <c r="G338" i="1"/>
  <c r="G352" i="1" s="1"/>
  <c r="F169" i="1"/>
  <c r="J140" i="1"/>
  <c r="F571" i="1"/>
  <c r="I552" i="1"/>
  <c r="K550" i="1"/>
  <c r="G22" i="2"/>
  <c r="K545" i="1"/>
  <c r="C29" i="10"/>
  <c r="H140" i="1"/>
  <c r="L393" i="1"/>
  <c r="F22" i="13"/>
  <c r="H25" i="13"/>
  <c r="C25" i="13" s="1"/>
  <c r="H571" i="1"/>
  <c r="L560" i="1"/>
  <c r="J545" i="1"/>
  <c r="F338" i="1"/>
  <c r="F352" i="1" s="1"/>
  <c r="G192" i="1"/>
  <c r="H192" i="1"/>
  <c r="C35" i="10"/>
  <c r="L309" i="1"/>
  <c r="E16" i="13"/>
  <c r="C16" i="13" s="1"/>
  <c r="J655" i="1"/>
  <c r="J645" i="1"/>
  <c r="L570" i="1"/>
  <c r="I571" i="1"/>
  <c r="I545" i="1"/>
  <c r="J636" i="1"/>
  <c r="G36" i="2"/>
  <c r="C22" i="13"/>
  <c r="C138" i="2"/>
  <c r="A40" i="12" l="1"/>
  <c r="A13" i="12"/>
  <c r="J649" i="1"/>
  <c r="L544" i="1"/>
  <c r="K551" i="1"/>
  <c r="H545" i="1"/>
  <c r="H552" i="1"/>
  <c r="G545" i="1"/>
  <c r="L524" i="1"/>
  <c r="L545" i="1" s="1"/>
  <c r="K549" i="1"/>
  <c r="K552" i="1" s="1"/>
  <c r="J640" i="1"/>
  <c r="L401" i="1"/>
  <c r="C139" i="2" s="1"/>
  <c r="J634" i="1"/>
  <c r="D29" i="13"/>
  <c r="C29" i="13" s="1"/>
  <c r="D127" i="2"/>
  <c r="D128" i="2" s="1"/>
  <c r="D145" i="2" s="1"/>
  <c r="H661" i="1"/>
  <c r="I661" i="1" s="1"/>
  <c r="L362" i="1"/>
  <c r="C27" i="10" s="1"/>
  <c r="L351" i="1"/>
  <c r="C20" i="10"/>
  <c r="K338" i="1"/>
  <c r="K352" i="1" s="1"/>
  <c r="E128" i="2"/>
  <c r="L290" i="1"/>
  <c r="L338" i="1" s="1"/>
  <c r="L352" i="1" s="1"/>
  <c r="G633" i="1" s="1"/>
  <c r="J633" i="1" s="1"/>
  <c r="C16" i="10"/>
  <c r="C13" i="10"/>
  <c r="E115" i="2"/>
  <c r="J338" i="1"/>
  <c r="J352" i="1" s="1"/>
  <c r="H33" i="13"/>
  <c r="C124" i="2"/>
  <c r="C21" i="10"/>
  <c r="J647" i="1"/>
  <c r="L247" i="1"/>
  <c r="K257" i="1"/>
  <c r="K271" i="1" s="1"/>
  <c r="I257" i="1"/>
  <c r="I271" i="1" s="1"/>
  <c r="G257" i="1"/>
  <c r="G271" i="1" s="1"/>
  <c r="F257" i="1"/>
  <c r="F271" i="1" s="1"/>
  <c r="C112" i="2"/>
  <c r="J257" i="1"/>
  <c r="J271" i="1" s="1"/>
  <c r="C110" i="2"/>
  <c r="H257" i="1"/>
  <c r="H271" i="1" s="1"/>
  <c r="H660" i="1"/>
  <c r="C10" i="10"/>
  <c r="C17" i="10"/>
  <c r="C123" i="2"/>
  <c r="D12" i="13"/>
  <c r="C12" i="13" s="1"/>
  <c r="C121" i="2"/>
  <c r="E8" i="13"/>
  <c r="C8" i="13" s="1"/>
  <c r="C120" i="2"/>
  <c r="D7" i="13"/>
  <c r="C7" i="13" s="1"/>
  <c r="D5" i="13"/>
  <c r="C5" i="13" s="1"/>
  <c r="C109" i="2"/>
  <c r="L211" i="1"/>
  <c r="C81" i="2"/>
  <c r="C62" i="2"/>
  <c r="C63" i="2" s="1"/>
  <c r="J622" i="1"/>
  <c r="J617" i="1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C104" i="2"/>
  <c r="J652" i="1"/>
  <c r="J642" i="1"/>
  <c r="G571" i="1"/>
  <c r="I434" i="1"/>
  <c r="G434" i="1"/>
  <c r="I663" i="1"/>
  <c r="G635" i="1"/>
  <c r="J635" i="1" s="1"/>
  <c r="H646" i="1" l="1"/>
  <c r="H664" i="1"/>
  <c r="H667" i="1" s="1"/>
  <c r="G667" i="1"/>
  <c r="E145" i="2"/>
  <c r="D31" i="13"/>
  <c r="C31" i="13" s="1"/>
  <c r="F660" i="1"/>
  <c r="F664" i="1" s="1"/>
  <c r="H648" i="1"/>
  <c r="J648" i="1" s="1"/>
  <c r="E33" i="13"/>
  <c r="D35" i="13" s="1"/>
  <c r="C115" i="2"/>
  <c r="C28" i="10"/>
  <c r="D23" i="10" s="1"/>
  <c r="C128" i="2"/>
  <c r="L257" i="1"/>
  <c r="L271" i="1" s="1"/>
  <c r="G632" i="1" s="1"/>
  <c r="J632" i="1" s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H672" i="1" l="1"/>
  <c r="C6" i="10" s="1"/>
  <c r="D33" i="13"/>
  <c r="D36" i="13" s="1"/>
  <c r="I660" i="1"/>
  <c r="I664" i="1" s="1"/>
  <c r="I672" i="1" s="1"/>
  <c r="C7" i="10" s="1"/>
  <c r="D13" i="10"/>
  <c r="C145" i="2"/>
  <c r="D17" i="10"/>
  <c r="D19" i="10"/>
  <c r="D18" i="10"/>
  <c r="D25" i="10"/>
  <c r="D22" i="10"/>
  <c r="D21" i="10"/>
  <c r="D24" i="10"/>
  <c r="D27" i="10"/>
  <c r="D15" i="10"/>
  <c r="D20" i="10"/>
  <c r="D11" i="10"/>
  <c r="D12" i="10"/>
  <c r="D10" i="10"/>
  <c r="D26" i="10"/>
  <c r="C30" i="10"/>
  <c r="D16" i="10"/>
  <c r="F672" i="1"/>
  <c r="C4" i="10" s="1"/>
  <c r="F667" i="1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<sst xmlns="http://schemas.openxmlformats.org/spreadsheetml/2006/main" count="3959" uniqueCount="916">
  <si>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</si>
  <si>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</si>
  <si>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</si>
  <si>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</si>
  <si>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</si>
  <si>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</si>
  <si>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</si>
  <si>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</si>
  <si>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</si>
  <si>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</si>
  <si>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</si>
  <si>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</si>
  <si>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</si>
  <si>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</si>
  <si>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</si>
  <si>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</si>
  <si>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</si>
  <si>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</si>
  <si>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</si>
  <si>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</si>
  <si>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</si>
  <si>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</si>
  <si>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</si>
  <si>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</si>
  <si>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</si>
  <si>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</si>
  <si>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</si>
  <si>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</si>
  <si>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</si>
  <si>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</si>
  <si>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</si>
  <si>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</si>
  <si>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</si>
  <si>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</si>
  <si>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</si>
  <si>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</si>
  <si>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</si>
  <si>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</si>
  <si>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</si>
  <si>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</si>
  <si>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</si>
  <si>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</si>
  <si>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</si>
  <si>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</si>
  <si>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</si>
  <si>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</si>
  <si>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</si>
  <si>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</si>
  <si>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</si>
  <si>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</si>
  <si>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</si>
  <si>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</si>
  <si>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</si>
  <si>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</si>
  <si>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</si>
  <si>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</si>
  <si>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</si>
  <si>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</si>
  <si>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</si>
  <si>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</si>
  <si>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</si>
  <si>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</si>
  <si>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</si>
  <si>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</si>
  <si>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</si>
  <si>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</si>
  <si>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</si>
  <si>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</si>
  <si>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</si>
  <si>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</si>
  <si>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</si>
  <si>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</si>
  <si>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</si>
  <si>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</si>
  <si>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</si>
  <si>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</si>
  <si>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</si>
  <si>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</si>
  <si>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</si>
  <si>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</si>
  <si>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</si>
  <si>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</si>
  <si>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</si>
  <si>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</si>
  <si>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</si>
  <si>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</si>
  <si>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</si>
  <si>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</si>
  <si>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</si>
  <si>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</si>
  <si>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</si>
  <si>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</si>
  <si>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</si>
  <si>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</si>
  <si>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</si>
  <si>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</si>
  <si>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</si>
  <si>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</si>
  <si>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</si>
  <si>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</si>
  <si>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</si>
  <si>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</si>
  <si>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</si>
  <si>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</si>
  <si>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</si>
  <si>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</si>
  <si>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</si>
  <si>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</si>
  <si>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</si>
  <si>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</si>
  <si>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</si>
  <si>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</si>
  <si>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</si>
  <si>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</si>
  <si>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</si>
  <si>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</si>
  <si>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</si>
  <si>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</si>
  <si>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</si>
  <si>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</si>
  <si>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</si>
  <si>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</si>
  <si>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</si>
  <si>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</si>
  <si>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</si>
  <si>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</si>
  <si>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</si>
  <si>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</si>
  <si>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</si>
  <si>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</si>
  <si>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</si>
  <si>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</si>
  <si>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</si>
  <si>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</si>
  <si>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</si>
  <si>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</si>
  <si>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</si>
  <si>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</si>
  <si>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</si>
  <si>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</si>
  <si>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</si>
  <si>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</si>
  <si>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</si>
  <si>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</si>
  <si>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</si>
  <si>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</si>
  <si>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</si>
  <si>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</si>
  <si>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</si>
  <si>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</si>
  <si>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</si>
  <si>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</si>
  <si>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</si>
  <si>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</si>
  <si>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</si>
  <si>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</si>
  <si>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</si>
  <si>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</si>
  <si>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</si>
  <si>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</si>
  <si>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</si>
  <si>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</si>
  <si>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</si>
  <si>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</si>
  <si>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</si>
  <si>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</si>
  <si>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</si>
  <si>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</si>
  <si>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</si>
  <si>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</si>
  <si>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</si>
  <si>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</si>
  <si>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</si>
  <si>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</si>
  <si>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</si>
  <si>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</si>
  <si>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</si>
  <si>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</si>
  <si>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</si>
  <si>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</si>
  <si>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</si>
  <si>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</si>
  <si>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</si>
  <si>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</si>
  <si>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</si>
  <si>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</si>
  <si>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</si>
  <si>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</si>
  <si>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</si>
  <si>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</si>
  <si>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</si>
  <si>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</si>
  <si>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</si>
  <si>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</si>
  <si>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</si>
  <si>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</si>
  <si>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</si>
  <si>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</si>
  <si>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</si>
  <si>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</si>
  <si>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</si>
  <si>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</si>
  <si>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</si>
  <si>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</si>
  <si>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</si>
  <si>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</si>
  <si>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</si>
  <si>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</si>
  <si>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</si>
  <si>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</si>
  <si>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</si>
  <si>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</si>
  <si>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</si>
  <si>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</si>
  <si>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</si>
  <si>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</si>
  <si>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</si>
  <si>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</si>
  <si>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</si>
  <si>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</si>
  <si>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</si>
  <si>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</si>
  <si>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</si>
  <si>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</si>
  <si>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</si>
  <si>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</si>
  <si>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</si>
  <si>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</si>
  <si>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</si>
  <si>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</si>
  <si>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</si>
  <si>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</si>
  <si>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</si>
  <si>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</si>
  <si>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</si>
  <si>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</si>
  <si>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</si>
  <si>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</si>
  <si>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</si>
  <si>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</si>
  <si>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</si>
  <si>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</si>
  <si>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</si>
  <si>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</si>
  <si>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</si>
  <si>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</si>
  <si>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</si>
  <si>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</si>
  <si>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</si>
  <si>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</si>
  <si>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</si>
  <si>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</si>
  <si>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</si>
  <si>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</si>
  <si>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</si>
  <si>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</si>
  <si>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</si>
  <si>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</si>
  <si>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</si>
  <si>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</si>
  <si>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</si>
  <si>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</si>
  <si>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</si>
  <si>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</si>
  <si>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</si>
  <si>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</si>
  <si>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</si>
  <si>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</si>
  <si>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</si>
  <si>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</si>
  <si>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</si>
  <si>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</si>
  <si>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</si>
  <si>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</si>
  <si>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</si>
  <si>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</si>
  <si>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</si>
  <si>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</si>
  <si>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</si>
  <si>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</si>
  <si>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</si>
  <si>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</si>
  <si>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</si>
  <si>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</si>
  <si>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</si>
  <si>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</si>
  <si>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</si>
  <si>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</si>
  <si>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</si>
  <si>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</si>
  <si>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</si>
  <si>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</si>
  <si>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</si>
  <si>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</si>
  <si>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</si>
  <si>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</si>
  <si>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</si>
  <si>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</si>
  <si>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</si>
  <si>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</si>
  <si>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</si>
  <si>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</si>
  <si>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</si>
  <si>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</si>
  <si>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</si>
  <si>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</si>
  <si>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</si>
  <si>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</si>
  <si>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</si>
  <si>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</si>
  <si>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</si>
  <si>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</si>
  <si>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</si>
  <si>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</si>
  <si>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</si>
  <si>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</si>
  <si>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</si>
  <si>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</si>
  <si>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</si>
  <si>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</si>
  <si>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</si>
  <si>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</si>
  <si>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</si>
  <si>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</si>
  <si>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</si>
  <si>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</si>
  <si>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</si>
  <si>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</si>
  <si>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</si>
  <si>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</si>
  <si>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</si>
  <si>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</si>
  <si>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</si>
  <si>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</si>
  <si>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</si>
  <si>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</si>
  <si>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</si>
  <si>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</si>
  <si>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</si>
  <si>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</si>
  <si>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</si>
  <si>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</si>
  <si>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</si>
  <si>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</si>
  <si>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</si>
  <si>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</si>
  <si>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</si>
  <si>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</si>
  <si>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</si>
  <si>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</si>
  <si>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</si>
  <si>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</si>
  <si>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</si>
  <si>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</si>
  <si>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</si>
  <si>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</si>
  <si>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</si>
  <si>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</si>
  <si>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</si>
  <si>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</si>
  <si>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</si>
  <si>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</si>
  <si>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</si>
  <si>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</si>
  <si>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</si>
  <si>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</si>
  <si>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</si>
  <si>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</si>
  <si>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</si>
  <si>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</si>
  <si>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</si>
  <si>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</si>
  <si>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</si>
  <si>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</si>
  <si>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</si>
  <si>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</si>
  <si>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</si>
  <si>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</si>
  <si>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</si>
  <si>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</si>
  <si>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</si>
  <si>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</si>
  <si>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</si>
  <si>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</si>
  <si>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</si>
  <si>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</si>
  <si>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</si>
  <si>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</si>
  <si>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</si>
  <si>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</si>
  <si>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</si>
  <si>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</si>
  <si>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</si>
  <si>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</si>
  <si>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</si>
  <si>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</si>
  <si>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</si>
  <si>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</si>
  <si>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</si>
  <si>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</si>
  <si>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</si>
  <si>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</si>
  <si>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</si>
  <si>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</si>
  <si>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</si>
  <si>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</si>
  <si>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</si>
  <si>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</si>
  <si>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</si>
  <si>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</si>
  <si>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</si>
  <si>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</si>
  <si>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</si>
  <si>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</si>
  <si>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</si>
  <si>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</si>
  <si>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</si>
  <si>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</si>
  <si>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</si>
  <si>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</si>
  <si>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</si>
  <si>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</si>
  <si>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</si>
  <si>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</si>
  <si>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</si>
  <si>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</si>
  <si>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</si>
  <si>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</si>
  <si>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</si>
  <si>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</si>
  <si>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</si>
  <si>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</si>
  <si>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</si>
  <si>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</si>
  <si>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</si>
  <si>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</si>
  <si>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</si>
  <si>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</si>
  <si>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</si>
  <si>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</si>
  <si>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</si>
  <si>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</si>
  <si>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</si>
  <si>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</si>
  <si>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</si>
  <si>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</si>
  <si>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</si>
  <si>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</si>
  <si>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</si>
  <si>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</si>
  <si>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</si>
  <si>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</si>
  <si>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</si>
  <si>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</si>
  <si>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</si>
  <si>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</si>
  <si>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</si>
  <si>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</si>
  <si>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</si>
  <si>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</si>
  <si>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</si>
  <si>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</si>
  <si>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</si>
  <si>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</si>
  <si>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</si>
  <si>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</si>
  <si>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</si>
  <si>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</si>
  <si>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</si>
  <si>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</si>
  <si>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</si>
  <si>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</si>
  <si>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</si>
  <si>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</si>
  <si>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</si>
  <si>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</si>
  <si>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</si>
  <si>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</si>
  <si>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</si>
  <si>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</si>
  <si>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</si>
  <si>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</si>
  <si>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</si>
  <si>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</si>
  <si>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</si>
  <si>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</si>
  <si>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</si>
  <si>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</si>
  <si>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</si>
  <si>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</si>
  <si>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</si>
  <si>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</si>
  <si>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</si>
  <si>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</si>
  <si>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</si>
  <si>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</si>
  <si>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</si>
  <si>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</si>
  <si>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</si>
  <si>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</si>
  <si>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</si>
  <si>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</si>
  <si>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</si>
  <si>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</si>
  <si>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</si>
  <si>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</si>
  <si>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</si>
  <si>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</si>
  <si>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</si>
  <si>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</si>
  <si>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</si>
  <si>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</si>
  <si>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</si>
  <si>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</si>
  <si>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</si>
  <si>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</si>
  <si>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</si>
  <si>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</si>
  <si>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</si>
  <si>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</si>
  <si>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</si>
  <si>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</si>
  <si>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</si>
  <si>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</si>
  <si>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</si>
  <si>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</si>
  <si>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</si>
  <si>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</si>
  <si>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</si>
  <si>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</si>
  <si>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</si>
  <si>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</si>
  <si>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</si>
  <si>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</si>
  <si>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</si>
  <si>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</si>
  <si>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</si>
  <si>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</si>
  <si>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</si>
  <si>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</si>
  <si>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</si>
  <si>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</si>
  <si>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</si>
  <si>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</si>
  <si>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</si>
  <si>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</si>
  <si>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</si>
  <si>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</si>
  <si>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</si>
  <si>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</si>
  <si>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</si>
  <si>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</si>
  <si>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</si>
  <si>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</si>
  <si>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</si>
  <si>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</si>
  <si>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</si>
  <si>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</si>
  <si>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</si>
  <si>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</si>
  <si>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</si>
  <si>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</si>
  <si>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</si>
  <si>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</si>
  <si>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</si>
  <si>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</si>
  <si>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</si>
  <si>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</si>
  <si>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</si>
  <si>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</si>
  <si>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</si>
  <si>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</si>
  <si>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</si>
  <si>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</si>
  <si>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</si>
  <si>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</si>
  <si>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</si>
  <si>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</si>
  <si>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</si>
  <si>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</si>
  <si>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</si>
  <si>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</si>
  <si>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</si>
  <si>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</si>
  <si>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</si>
  <si>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</si>
  <si>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</si>
  <si>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</si>
  <si>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</si>
  <si>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</si>
  <si>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</si>
  <si>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</si>
  <si>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</si>
  <si>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</si>
  <si>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</si>
  <si>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</si>
  <si>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</si>
  <si>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</si>
  <si>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</si>
  <si>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</si>
  <si>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</si>
  <si>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</si>
  <si>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</si>
  <si>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</si>
  <si>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</si>
  <si>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</si>
  <si>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</si>
  <si>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</si>
  <si>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</si>
  <si>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</si>
  <si>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</si>
  <si>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</si>
  <si>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</si>
  <si>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</si>
  <si>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</si>
  <si>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</si>
  <si>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</si>
  <si>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</si>
  <si>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</si>
  <si>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</si>
  <si>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</si>
  <si>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</si>
  <si>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</si>
  <si>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</si>
  <si>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</si>
  <si>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</si>
  <si>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</si>
  <si>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</si>
  <si>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</si>
  <si>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</si>
  <si>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</si>
  <si>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</si>
  <si>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</si>
  <si>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</si>
  <si>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</si>
  <si>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</si>
  <si>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</si>
  <si>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</si>
  <si>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</si>
  <si>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</si>
  <si>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</si>
  <si>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</si>
  <si>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</si>
  <si>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</si>
  <si>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</si>
  <si>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</si>
  <si>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</si>
  <si>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</si>
  <si>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</si>
  <si>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</si>
  <si>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</si>
  <si>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</si>
  <si>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</si>
  <si>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</si>
  <si>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</si>
  <si>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</si>
  <si>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</si>
  <si>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</si>
  <si>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</si>
  <si>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</si>
  <si>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</si>
  <si>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</si>
  <si>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</si>
  <si>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</si>
  <si>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</si>
  <si>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</si>
  <si>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</si>
  <si>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</si>
  <si>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</si>
  <si>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</si>
  <si>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</si>
  <si>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</si>
  <si>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</si>
  <si>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</si>
  <si>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</si>
  <si>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</si>
  <si>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</si>
  <si>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</si>
  <si>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</si>
  <si>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</si>
  <si>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</si>
  <si>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</si>
  <si>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</si>
  <si>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</si>
  <si>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</si>
  <si>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</si>
  <si>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</si>
  <si>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</si>
  <si>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</si>
  <si>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</si>
  <si>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</si>
  <si>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</si>
  <si>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</si>
  <si>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</si>
  <si>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</si>
  <si>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</si>
  <si>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</si>
  <si>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</si>
  <si>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</si>
  <si>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</si>
  <si>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</si>
  <si>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</si>
  <si>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</si>
  <si>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</si>
  <si>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</si>
  <si>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</si>
  <si>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</si>
  <si>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</si>
  <si>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</si>
  <si>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</si>
  <si>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</si>
  <si>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</si>
  <si>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</si>
  <si>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</si>
  <si>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</si>
  <si>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</si>
  <si>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</si>
  <si>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</si>
  <si>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</si>
  <si>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</si>
  <si>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</si>
  <si>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</si>
  <si>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</si>
  <si>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</si>
  <si>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</si>
  <si>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</si>
  <si>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</si>
  <si>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</si>
  <si>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</si>
  <si>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</si>
  <si>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</si>
  <si>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</si>
  <si>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</si>
  <si>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</si>
  <si>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</si>
  <si>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</si>
  <si>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</si>
  <si>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</si>
  <si>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</si>
  <si>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</si>
  <si>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</si>
  <si>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</si>
  <si>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</si>
  <si>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</si>
  <si>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</si>
  <si>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</si>
  <si>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</si>
  <si>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</si>
  <si>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</si>
  <si>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</si>
  <si>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</si>
  <si>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</si>
  <si>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</si>
  <si>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</si>
  <si>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</si>
  <si>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</si>
  <si>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</si>
  <si>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</si>
  <si>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</si>
  <si>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</si>
  <si>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</si>
  <si>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</si>
  <si>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</si>
  <si>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</si>
  <si>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</si>
  <si>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</si>
  <si>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</si>
  <si>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</si>
  <si>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</si>
  <si>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</si>
  <si>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</si>
  <si>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</si>
  <si>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</si>
  <si>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</si>
  <si>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</si>
  <si>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</si>
  <si>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</si>
  <si>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</si>
  <si>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</si>
  <si>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</si>
  <si>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</si>
  <si>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</si>
  <si>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</si>
  <si>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</si>
  <si>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</si>
  <si>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</si>
  <si>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</si>
  <si>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</si>
  <si>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</si>
  <si>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</si>
  <si>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</si>
  <si>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</si>
  <si>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</si>
  <si>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</si>
  <si>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</si>
  <si>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</si>
  <si>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</si>
  <si>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</si>
  <si>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</si>
  <si>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</si>
  <si>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</si>
  <si>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</si>
  <si>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</si>
  <si>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</si>
  <si>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</si>
  <si>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</si>
  <si>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</si>
  <si>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</si>
  <si>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</si>
  <si>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</si>
  <si>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</si>
  <si>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</si>
  <si>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</si>
  <si>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</si>
  <si>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</si>
  <si>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</si>
  <si>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</si>
  <si>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</si>
  <si>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</si>
  <si>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</si>
  <si>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</si>
  <si>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</si>
  <si>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</si>
  <si>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</si>
  <si>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</si>
  <si>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</si>
  <si>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</si>
  <si>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</si>
  <si>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</si>
  <si>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</si>
  <si>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</si>
  <si>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</si>
  <si>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</si>
  <si>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</si>
  <si>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</si>
  <si>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</si>
  <si>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</si>
  <si>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</si>
  <si>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</si>
  <si>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</si>
  <si>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</si>
  <si>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</si>
  <si>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</si>
  <si>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</si>
  <si>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</si>
  <si>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</si>
  <si>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</si>
  <si>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</si>
  <si>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</si>
  <si>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</si>
  <si>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</si>
  <si>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</si>
  <si>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</si>
  <si>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</si>
  <si>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</si>
  <si>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</si>
  <si>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</si>
  <si>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</si>
  <si>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</si>
  <si>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</si>
  <si>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</si>
  <si>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</si>
  <si>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</si>
  <si>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</si>
  <si>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</si>
  <si>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</si>
  <si>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</si>
  <si>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</si>
  <si>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</si>
  <si>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</si>
  <si>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</si>
  <si>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</si>
  <si>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</si>
  <si>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</si>
  <si>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</si>
  <si>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</si>
  <si>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</si>
  <si>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</si>
  <si>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</si>
  <si>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</si>
  <si>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</si>
  <si>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</si>
  <si>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</si>
  <si>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</si>
  <si>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</si>
  <si>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</si>
  <si>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</si>
  <si>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</si>
  <si>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</si>
  <si>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</si>
  <si>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</si>
  <si>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</si>
  <si>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</si>
  <si>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</si>
  <si>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</si>
  <si>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</si>
  <si>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</si>
  <si>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</si>
  <si>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</si>
  <si>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</si>
  <si>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</si>
  <si>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</si>
  <si>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</si>
  <si>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</si>
  <si>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</si>
  <si>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</si>
  <si>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</si>
  <si>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</si>
  <si>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</si>
  <si>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</si>
  <si>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</si>
  <si>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12/96</t>
  </si>
  <si>
    <t>01/17</t>
  </si>
  <si>
    <t>RYE SCHOOL DISTRICT</t>
  </si>
  <si>
    <t>Decrease in Inventory</t>
  </si>
  <si>
    <t>Prior Period Adjustments  (.45)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</si>
</sst>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110" zoomScaleNormal="110" workbookViewId="0">
      <pane xSplit="5" ySplit="3" topLeftCell="F650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913</v>
      </c>
      <c r="B2" s="21">
        <v>471</v>
      </c>
      <c r="C2" s="21">
        <v>471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988088.21</v>
      </c>
      <c r="G9" s="18"/>
      <c r="H9" s="18"/>
      <c r="I9" s="18"/>
      <c r="J9" s="67">
        <f>SUM(I439)</f>
        <v>282993.78000000003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11985.88</v>
      </c>
      <c r="G12" s="18"/>
      <c r="H12" s="18">
        <v>10961.84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9620.1200000000008</v>
      </c>
      <c r="G13" s="18">
        <v>1883.94</v>
      </c>
      <c r="H13" s="18">
        <v>11022.83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>
        <v>6750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461.38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1009694.21</v>
      </c>
      <c r="G19" s="41">
        <f>SUM(G9:G18)</f>
        <v>2345.3200000000002</v>
      </c>
      <c r="H19" s="41">
        <f>SUM(H9:H18)</f>
        <v>28734.67</v>
      </c>
      <c r="I19" s="41">
        <f>SUM(I9:I18)</f>
        <v>0</v>
      </c>
      <c r="J19" s="41">
        <f>SUM(J9:J18)</f>
        <v>282993.78000000003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10961.84</v>
      </c>
      <c r="G22" s="18">
        <v>198.05</v>
      </c>
      <c r="H22" s="18">
        <v>11787.83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841.25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234964.44</v>
      </c>
      <c r="G24" s="18">
        <v>1685.89</v>
      </c>
      <c r="H24" s="18">
        <v>700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54402.57</v>
      </c>
      <c r="G29" s="18"/>
      <c r="H29" s="18">
        <v>5285</v>
      </c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301170.09999999998</v>
      </c>
      <c r="G32" s="41">
        <f>SUM(G22:G31)</f>
        <v>1883.94</v>
      </c>
      <c r="H32" s="41">
        <f>SUM(H22:H31)</f>
        <v>17772.830000000002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461.38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>
        <v>297202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v>10961.84</v>
      </c>
      <c r="I48" s="18"/>
      <c r="J48" s="13">
        <f>SUM(I459)</f>
        <v>282993.78000000003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411322.11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708524.11</v>
      </c>
      <c r="G51" s="41">
        <f>SUM(G35:G50)</f>
        <v>461.38</v>
      </c>
      <c r="H51" s="41">
        <f>SUM(H35:H50)</f>
        <v>10961.84</v>
      </c>
      <c r="I51" s="41">
        <f>SUM(I35:I50)</f>
        <v>0</v>
      </c>
      <c r="J51" s="41">
        <f>SUM(J35:J50)</f>
        <v>282993.78000000003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1009694.21</v>
      </c>
      <c r="G52" s="41">
        <f>G51+G32</f>
        <v>2345.3200000000002</v>
      </c>
      <c r="H52" s="41">
        <f>H51+H32</f>
        <v>28734.670000000002</v>
      </c>
      <c r="I52" s="41">
        <f>I51+I32</f>
        <v>0</v>
      </c>
      <c r="J52" s="41">
        <f>J51+J32</f>
        <v>282993.78000000003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7590621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7590621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415092.19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415092.19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/>
      <c r="H96" s="18"/>
      <c r="I96" s="18"/>
      <c r="J96" s="18">
        <v>72.739999999999995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150688.4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104095.47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3069.36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3069.36</v>
      </c>
      <c r="G111" s="41">
        <f>SUM(G96:G110)</f>
        <v>150688.4</v>
      </c>
      <c r="H111" s="41">
        <f>SUM(H96:H110)</f>
        <v>104095.47</v>
      </c>
      <c r="I111" s="41">
        <f>SUM(I96:I110)</f>
        <v>0</v>
      </c>
      <c r="J111" s="41">
        <f>SUM(J96:J110)</f>
        <v>72.739999999999995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8008782.5500000007</v>
      </c>
      <c r="G112" s="41">
        <f>G60+G111</f>
        <v>150688.4</v>
      </c>
      <c r="H112" s="41">
        <f>H60+H79+H94+H111</f>
        <v>104095.47</v>
      </c>
      <c r="I112" s="41">
        <f>I60+I111</f>
        <v>0</v>
      </c>
      <c r="J112" s="41">
        <f>J60+J111</f>
        <v>72.739999999999995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/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4297456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4297456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116411.54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29454.25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2447.25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145865.78999999998</v>
      </c>
      <c r="G136" s="41">
        <f>SUM(G123:G135)</f>
        <v>2447.25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4443321.79</v>
      </c>
      <c r="G140" s="41">
        <f>G121+SUM(G136:G137)</f>
        <v>2447.25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25276.95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50867.05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24510.68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68788.75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68788.75</v>
      </c>
      <c r="G162" s="41">
        <f>SUM(G150:G161)</f>
        <v>24510.68</v>
      </c>
      <c r="H162" s="41">
        <f>SUM(H150:H161)</f>
        <v>76144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68788.75</v>
      </c>
      <c r="G169" s="41">
        <f>G147+G162+SUM(G163:G168)</f>
        <v>24510.68</v>
      </c>
      <c r="H169" s="41">
        <f>H147+H162+SUM(H163:H168)</f>
        <v>76144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9126.68</v>
      </c>
      <c r="H179" s="18">
        <v>1479.89</v>
      </c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837.4</v>
      </c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837.4</v>
      </c>
      <c r="G183" s="41">
        <f>SUM(G179:G182)</f>
        <v>9126.68</v>
      </c>
      <c r="H183" s="41">
        <f>SUM(H179:H182)</f>
        <v>1479.89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837.4</v>
      </c>
      <c r="G192" s="41">
        <f>G183+SUM(G188:G191)</f>
        <v>9126.68</v>
      </c>
      <c r="H192" s="41">
        <f>+H183+SUM(H188:H191)</f>
        <v>1479.89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12521730.49</v>
      </c>
      <c r="G193" s="47">
        <f>G112+G140+G169+G192</f>
        <v>186773.00999999998</v>
      </c>
      <c r="H193" s="47">
        <f>H112+H140+H169+H192</f>
        <v>181719.36000000002</v>
      </c>
      <c r="I193" s="47">
        <f>I112+I140+I169+I192</f>
        <v>0</v>
      </c>
      <c r="J193" s="47">
        <f>J112+J140+J192</f>
        <v>72.739999999999995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2984461.25</v>
      </c>
      <c r="G197" s="18">
        <v>1227030.46</v>
      </c>
      <c r="H197" s="18">
        <v>11113.85</v>
      </c>
      <c r="I197" s="18">
        <v>126886.56</v>
      </c>
      <c r="J197" s="18">
        <v>9250.27</v>
      </c>
      <c r="K197" s="18"/>
      <c r="L197" s="19">
        <f>SUM(F197:K197)</f>
        <v>4358742.3899999987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598146.06999999995</v>
      </c>
      <c r="G198" s="18">
        <v>245889.34</v>
      </c>
      <c r="H198" s="18">
        <v>59955.62</v>
      </c>
      <c r="I198" s="18">
        <v>773.61</v>
      </c>
      <c r="J198" s="18">
        <v>1210.99</v>
      </c>
      <c r="K198" s="18"/>
      <c r="L198" s="19">
        <f>SUM(F198:K198)</f>
        <v>905975.62999999989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59921.8</v>
      </c>
      <c r="G200" s="18">
        <v>4595.76</v>
      </c>
      <c r="H200" s="18">
        <v>51898.67</v>
      </c>
      <c r="I200" s="18">
        <v>2052.46</v>
      </c>
      <c r="J200" s="18"/>
      <c r="K200" s="18">
        <v>600</v>
      </c>
      <c r="L200" s="19">
        <f>SUM(F200:K200)</f>
        <v>119068.69000000002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414159.12</v>
      </c>
      <c r="G202" s="18">
        <v>170254.92</v>
      </c>
      <c r="H202" s="18">
        <v>20435.43</v>
      </c>
      <c r="I202" s="18">
        <v>3552.37</v>
      </c>
      <c r="J202" s="18"/>
      <c r="K202" s="18"/>
      <c r="L202" s="19">
        <f t="shared" ref="L202:L208" si="0">SUM(F202:K202)</f>
        <v>608401.84000000008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299145.96000000002</v>
      </c>
      <c r="G203" s="18">
        <v>177151.89</v>
      </c>
      <c r="H203" s="18">
        <v>38295.480000000003</v>
      </c>
      <c r="I203" s="18">
        <v>28564.58</v>
      </c>
      <c r="J203" s="18">
        <v>79833.759999999995</v>
      </c>
      <c r="K203" s="18">
        <v>3758</v>
      </c>
      <c r="L203" s="19">
        <f t="shared" si="0"/>
        <v>626749.67000000004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7830</v>
      </c>
      <c r="G204" s="18">
        <v>830.03</v>
      </c>
      <c r="H204" s="18">
        <v>543288.03</v>
      </c>
      <c r="I204" s="18">
        <v>1327.94</v>
      </c>
      <c r="J204" s="18"/>
      <c r="K204" s="18">
        <v>5986.88</v>
      </c>
      <c r="L204" s="19">
        <f t="shared" si="0"/>
        <v>559262.88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319565.90999999997</v>
      </c>
      <c r="G205" s="18">
        <v>133492.41</v>
      </c>
      <c r="H205" s="18">
        <v>17665.7</v>
      </c>
      <c r="I205" s="18">
        <v>2789.04</v>
      </c>
      <c r="J205" s="18">
        <v>1896.13</v>
      </c>
      <c r="K205" s="18">
        <v>235</v>
      </c>
      <c r="L205" s="19">
        <f t="shared" si="0"/>
        <v>475644.18999999994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>
        <v>10807.91</v>
      </c>
      <c r="L206" s="19">
        <f t="shared" si="0"/>
        <v>10807.91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287451.89</v>
      </c>
      <c r="G207" s="18">
        <v>118167.38</v>
      </c>
      <c r="H207" s="18">
        <v>131286.22</v>
      </c>
      <c r="I207" s="18">
        <v>231863.59</v>
      </c>
      <c r="J207" s="18">
        <v>4825.82</v>
      </c>
      <c r="K207" s="18"/>
      <c r="L207" s="19">
        <f t="shared" si="0"/>
        <v>773594.89999999991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253552.62</v>
      </c>
      <c r="I208" s="18"/>
      <c r="J208" s="18"/>
      <c r="K208" s="18"/>
      <c r="L208" s="19">
        <f t="shared" si="0"/>
        <v>253552.62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>
        <v>3402.55</v>
      </c>
      <c r="H209" s="18">
        <v>12456.83</v>
      </c>
      <c r="I209" s="18">
        <v>72.08</v>
      </c>
      <c r="J209" s="18">
        <v>44039</v>
      </c>
      <c r="K209" s="18"/>
      <c r="L209" s="19">
        <f>SUM(F209:K209)</f>
        <v>59970.46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4970682</v>
      </c>
      <c r="G211" s="41">
        <f t="shared" si="1"/>
        <v>2080814.74</v>
      </c>
      <c r="H211" s="41">
        <f t="shared" si="1"/>
        <v>1139948.4500000002</v>
      </c>
      <c r="I211" s="41">
        <f t="shared" si="1"/>
        <v>397882.23000000004</v>
      </c>
      <c r="J211" s="41">
        <f t="shared" si="1"/>
        <v>141055.97</v>
      </c>
      <c r="K211" s="41">
        <f t="shared" si="1"/>
        <v>21387.79</v>
      </c>
      <c r="L211" s="41">
        <f t="shared" si="1"/>
        <v>8751771.1799999997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2632788.08</v>
      </c>
      <c r="I233" s="18"/>
      <c r="J233" s="18"/>
      <c r="K233" s="18"/>
      <c r="L233" s="19">
        <f>SUM(F233:K233)</f>
        <v>2632788.08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90015.52</v>
      </c>
      <c r="I234" s="18"/>
      <c r="J234" s="18">
        <v>408.99</v>
      </c>
      <c r="K234" s="18"/>
      <c r="L234" s="19">
        <f>SUM(F234:K234)</f>
        <v>90424.510000000009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>
        <v>3960</v>
      </c>
      <c r="I236" s="18"/>
      <c r="J236" s="18"/>
      <c r="K236" s="18"/>
      <c r="L236" s="19">
        <f>SUM(F236:K236)</f>
        <v>3960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870</v>
      </c>
      <c r="G240" s="18">
        <v>92.23</v>
      </c>
      <c r="H240" s="18">
        <v>60365.34</v>
      </c>
      <c r="I240" s="18">
        <v>147.55000000000001</v>
      </c>
      <c r="J240" s="18"/>
      <c r="K240" s="18">
        <v>665.2</v>
      </c>
      <c r="L240" s="19">
        <f t="shared" si="4"/>
        <v>62140.32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70287.7</v>
      </c>
      <c r="I244" s="18"/>
      <c r="J244" s="18"/>
      <c r="K244" s="18"/>
      <c r="L244" s="19">
        <f t="shared" si="4"/>
        <v>70287.7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870</v>
      </c>
      <c r="G247" s="41">
        <f t="shared" si="5"/>
        <v>92.23</v>
      </c>
      <c r="H247" s="41">
        <f t="shared" si="5"/>
        <v>2857416.64</v>
      </c>
      <c r="I247" s="41">
        <f t="shared" si="5"/>
        <v>147.55000000000001</v>
      </c>
      <c r="J247" s="41">
        <f t="shared" si="5"/>
        <v>408.99</v>
      </c>
      <c r="K247" s="41">
        <f t="shared" si="5"/>
        <v>665.2</v>
      </c>
      <c r="L247" s="41">
        <f t="shared" si="5"/>
        <v>2859600.61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86036.23</v>
      </c>
      <c r="I255" s="18"/>
      <c r="J255" s="18"/>
      <c r="K255" s="18"/>
      <c r="L255" s="19">
        <f t="shared" si="6"/>
        <v>86036.23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86036.23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86036.23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4971552</v>
      </c>
      <c r="G257" s="41">
        <f t="shared" si="8"/>
        <v>2080906.97</v>
      </c>
      <c r="H257" s="41">
        <f t="shared" si="8"/>
        <v>4083401.3200000003</v>
      </c>
      <c r="I257" s="41">
        <f t="shared" si="8"/>
        <v>398029.78</v>
      </c>
      <c r="J257" s="41">
        <f t="shared" si="8"/>
        <v>141464.95999999999</v>
      </c>
      <c r="K257" s="41">
        <f t="shared" si="8"/>
        <v>22052.99</v>
      </c>
      <c r="L257" s="41">
        <f t="shared" si="8"/>
        <v>11697408.02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280000</v>
      </c>
      <c r="L260" s="19">
        <f>SUM(F260:K260)</f>
        <v>280000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61600</v>
      </c>
      <c r="L261" s="19">
        <f>SUM(F261:K261)</f>
        <v>61600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9126.68</v>
      </c>
      <c r="L263" s="19">
        <f>SUM(F263:K263)</f>
        <v>9126.68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1479.89</v>
      </c>
      <c r="L264" s="19">
        <f t="shared" ref="L264:L270" si="9">SUM(F264:K264)</f>
        <v>1479.89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352206.57</v>
      </c>
      <c r="L270" s="41">
        <f t="shared" si="9"/>
        <v>352206.57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4971552</v>
      </c>
      <c r="G271" s="42">
        <f t="shared" si="11"/>
        <v>2080906.97</v>
      </c>
      <c r="H271" s="42">
        <f t="shared" si="11"/>
        <v>4083401.3200000003</v>
      </c>
      <c r="I271" s="42">
        <f t="shared" si="11"/>
        <v>398029.78</v>
      </c>
      <c r="J271" s="42">
        <f t="shared" si="11"/>
        <v>141464.95999999999</v>
      </c>
      <c r="K271" s="42">
        <f t="shared" si="11"/>
        <v>374259.56</v>
      </c>
      <c r="L271" s="42">
        <f t="shared" si="11"/>
        <v>12049614.59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29545</v>
      </c>
      <c r="G276" s="18">
        <v>2819.94</v>
      </c>
      <c r="H276" s="18">
        <v>700</v>
      </c>
      <c r="I276" s="18">
        <v>4400.25</v>
      </c>
      <c r="J276" s="18">
        <v>1972.44</v>
      </c>
      <c r="K276" s="18"/>
      <c r="L276" s="19">
        <f>SUM(F276:K276)</f>
        <v>39437.630000000005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22612.5</v>
      </c>
      <c r="G279" s="18"/>
      <c r="H279" s="18">
        <v>22355.06</v>
      </c>
      <c r="I279" s="18">
        <v>508.09</v>
      </c>
      <c r="J279" s="18">
        <v>11572.8</v>
      </c>
      <c r="K279" s="18"/>
      <c r="L279" s="19">
        <f>SUM(F279:K279)</f>
        <v>57048.45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>
        <v>4012</v>
      </c>
      <c r="H281" s="18"/>
      <c r="I281" s="18"/>
      <c r="J281" s="18"/>
      <c r="K281" s="18"/>
      <c r="L281" s="19">
        <f t="shared" ref="L281:L287" si="12">SUM(F281:K281)</f>
        <v>4012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>
        <v>4515</v>
      </c>
      <c r="I282" s="18">
        <v>478.02</v>
      </c>
      <c r="J282" s="18">
        <v>61110.39</v>
      </c>
      <c r="K282" s="18">
        <v>50</v>
      </c>
      <c r="L282" s="19">
        <f t="shared" si="12"/>
        <v>66153.41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>
        <v>6136.34</v>
      </c>
      <c r="L283" s="19">
        <f t="shared" si="12"/>
        <v>6136.34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492.79</v>
      </c>
      <c r="L285" s="19">
        <f t="shared" si="12"/>
        <v>492.79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>
        <v>1267.3599999999999</v>
      </c>
      <c r="J286" s="18">
        <v>1499.9</v>
      </c>
      <c r="K286" s="18"/>
      <c r="L286" s="19">
        <f t="shared" si="12"/>
        <v>2767.26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>
        <v>1343.61</v>
      </c>
      <c r="I288" s="18"/>
      <c r="J288" s="18"/>
      <c r="K288" s="18"/>
      <c r="L288" s="19">
        <f>SUM(F288:K288)</f>
        <v>1343.61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52157.5</v>
      </c>
      <c r="G290" s="42">
        <f t="shared" si="13"/>
        <v>6831.9400000000005</v>
      </c>
      <c r="H290" s="42">
        <f t="shared" si="13"/>
        <v>28913.670000000002</v>
      </c>
      <c r="I290" s="42">
        <f t="shared" si="13"/>
        <v>6653.72</v>
      </c>
      <c r="J290" s="42">
        <f t="shared" si="13"/>
        <v>76155.53</v>
      </c>
      <c r="K290" s="42">
        <f t="shared" si="13"/>
        <v>6679.13</v>
      </c>
      <c r="L290" s="41">
        <f t="shared" si="13"/>
        <v>177391.49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52157.5</v>
      </c>
      <c r="G338" s="41">
        <f t="shared" si="20"/>
        <v>6831.9400000000005</v>
      </c>
      <c r="H338" s="41">
        <f t="shared" si="20"/>
        <v>28913.670000000002</v>
      </c>
      <c r="I338" s="41">
        <f t="shared" si="20"/>
        <v>6653.72</v>
      </c>
      <c r="J338" s="41">
        <f t="shared" si="20"/>
        <v>76155.53</v>
      </c>
      <c r="K338" s="41">
        <f t="shared" si="20"/>
        <v>6679.13</v>
      </c>
      <c r="L338" s="41">
        <f t="shared" si="20"/>
        <v>177391.49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1467.95</v>
      </c>
      <c r="L344" s="19">
        <f t="shared" ref="L344:L350" si="21">SUM(F344:K344)</f>
        <v>1467.95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1467.95</v>
      </c>
      <c r="L351" s="41">
        <f>SUM(L341:L350)</f>
        <v>1467.95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52157.5</v>
      </c>
      <c r="G352" s="41">
        <f>G338</f>
        <v>6831.9400000000005</v>
      </c>
      <c r="H352" s="41">
        <f>H338</f>
        <v>28913.670000000002</v>
      </c>
      <c r="I352" s="41">
        <f>I338</f>
        <v>6653.72</v>
      </c>
      <c r="J352" s="41">
        <f>J338</f>
        <v>76155.53</v>
      </c>
      <c r="K352" s="47">
        <f>K338+K351</f>
        <v>8147.08</v>
      </c>
      <c r="L352" s="41">
        <f>L338+L351</f>
        <v>178859.44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77639.179999999993</v>
      </c>
      <c r="G358" s="18">
        <v>31916.38</v>
      </c>
      <c r="H358" s="18">
        <v>3896.52</v>
      </c>
      <c r="I358" s="18">
        <v>69296.479999999996</v>
      </c>
      <c r="J358" s="18">
        <v>4024</v>
      </c>
      <c r="K358" s="18"/>
      <c r="L358" s="13">
        <f>SUM(F358:K358)</f>
        <v>186772.56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77639.179999999993</v>
      </c>
      <c r="G362" s="47">
        <f t="shared" si="22"/>
        <v>31916.38</v>
      </c>
      <c r="H362" s="47">
        <f t="shared" si="22"/>
        <v>3896.52</v>
      </c>
      <c r="I362" s="47">
        <f t="shared" si="22"/>
        <v>69296.479999999996</v>
      </c>
      <c r="J362" s="47">
        <f t="shared" si="22"/>
        <v>4024</v>
      </c>
      <c r="K362" s="47">
        <f t="shared" si="22"/>
        <v>0</v>
      </c>
      <c r="L362" s="47">
        <f t="shared" si="22"/>
        <v>186772.56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64055.55</v>
      </c>
      <c r="G367" s="18"/>
      <c r="H367" s="18"/>
      <c r="I367" s="56">
        <f>SUM(F367:H367)</f>
        <v>64055.55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5240.93</v>
      </c>
      <c r="G368" s="63"/>
      <c r="H368" s="63"/>
      <c r="I368" s="56">
        <f>SUM(F368:H368)</f>
        <v>5240.93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69296.48000000001</v>
      </c>
      <c r="G369" s="47">
        <f>SUM(G367:G368)</f>
        <v>0</v>
      </c>
      <c r="H369" s="47">
        <f>SUM(H367:H368)</f>
        <v>0</v>
      </c>
      <c r="I369" s="47">
        <f>SUM(I367:I368)</f>
        <v>69296.48000000001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41.04</v>
      </c>
      <c r="I396" s="18"/>
      <c r="J396" s="24" t="s">
        <v>289</v>
      </c>
      <c r="K396" s="24" t="s">
        <v>289</v>
      </c>
      <c r="L396" s="56">
        <f t="shared" si="26"/>
        <v>41.04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30.49</v>
      </c>
      <c r="I397" s="18"/>
      <c r="J397" s="24" t="s">
        <v>289</v>
      </c>
      <c r="K397" s="24" t="s">
        <v>289</v>
      </c>
      <c r="L397" s="56">
        <f t="shared" si="26"/>
        <v>30.49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>
        <v>1.21</v>
      </c>
      <c r="I398" s="18"/>
      <c r="J398" s="24" t="s">
        <v>289</v>
      </c>
      <c r="K398" s="24" t="s">
        <v>289</v>
      </c>
      <c r="L398" s="56">
        <f t="shared" si="26"/>
        <v>1.21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72.739999999999995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72.739999999999995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72.739999999999995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72.739999999999995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282993.78000000003</v>
      </c>
      <c r="H439" s="18"/>
      <c r="I439" s="56">
        <f t="shared" ref="I439:I445" si="33">SUM(F439:H439)</f>
        <v>282993.78000000003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282993.78000000003</v>
      </c>
      <c r="H446" s="13">
        <f>SUM(H439:H445)</f>
        <v>0</v>
      </c>
      <c r="I446" s="13">
        <f>SUM(I439:I445)</f>
        <v>282993.78000000003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282993.78000000003</v>
      </c>
      <c r="H459" s="18"/>
      <c r="I459" s="56">
        <f t="shared" si="34"/>
        <v>282993.78000000003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282993.78000000003</v>
      </c>
      <c r="H460" s="83">
        <f>SUM(H454:H459)</f>
        <v>0</v>
      </c>
      <c r="I460" s="83">
        <f>SUM(I454:I459)</f>
        <v>282993.78000000003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282993.78000000003</v>
      </c>
      <c r="H461" s="42">
        <f>H452+H460</f>
        <v>0</v>
      </c>
      <c r="I461" s="42">
        <f>I452+I460</f>
        <v>282993.78000000003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236408.21</v>
      </c>
      <c r="G465" s="18">
        <v>640.14</v>
      </c>
      <c r="H465" s="18">
        <v>8101.92</v>
      </c>
      <c r="I465" s="18"/>
      <c r="J465" s="18">
        <v>282921.03999999998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12521730.49</v>
      </c>
      <c r="G468" s="18">
        <v>186773.01</v>
      </c>
      <c r="H468" s="18">
        <v>181719.36</v>
      </c>
      <c r="I468" s="18"/>
      <c r="J468" s="18">
        <v>72.739999999999995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12521730.49</v>
      </c>
      <c r="G470" s="53">
        <f>SUM(G468:G469)</f>
        <v>186773.01</v>
      </c>
      <c r="H470" s="53">
        <f>SUM(H468:H469)</f>
        <v>181719.36</v>
      </c>
      <c r="I470" s="53">
        <f>SUM(I468:I469)</f>
        <v>0</v>
      </c>
      <c r="J470" s="53">
        <f>SUM(J468:J469)</f>
        <v>72.739999999999995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12049614.59</v>
      </c>
      <c r="G472" s="18">
        <v>186772.56</v>
      </c>
      <c r="H472" s="18">
        <v>178859.44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>
        <v>179.21</v>
      </c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12049614.59</v>
      </c>
      <c r="G474" s="53">
        <f>SUM(G472:G473)</f>
        <v>186951.77</v>
      </c>
      <c r="H474" s="53">
        <f>SUM(H472:H473)</f>
        <v>178859.44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708524.11000000127</v>
      </c>
      <c r="G476" s="53">
        <f>(G465+G470)- G474</f>
        <v>461.38000000003376</v>
      </c>
      <c r="H476" s="53">
        <f>(H465+H470)- H474</f>
        <v>10961.839999999997</v>
      </c>
      <c r="I476" s="53">
        <f>(I465+I470)- I474</f>
        <v>0</v>
      </c>
      <c r="J476" s="53">
        <f>(J465+J470)- J474</f>
        <v>282993.77999999997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 t="s">
        <v>915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 t="s">
        <v>914</v>
      </c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911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912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8844720.8000000007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5.45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1120000</v>
      </c>
      <c r="G495" s="18"/>
      <c r="H495" s="18"/>
      <c r="I495" s="18"/>
      <c r="J495" s="18"/>
      <c r="K495" s="53">
        <f>SUM(F495:J495)</f>
        <v>1120000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280000</v>
      </c>
      <c r="G497" s="18"/>
      <c r="H497" s="18"/>
      <c r="I497" s="18"/>
      <c r="J497" s="18"/>
      <c r="K497" s="53">
        <f t="shared" si="35"/>
        <v>280000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840000</v>
      </c>
      <c r="G498" s="204"/>
      <c r="H498" s="204"/>
      <c r="I498" s="204"/>
      <c r="J498" s="204"/>
      <c r="K498" s="205">
        <f t="shared" si="35"/>
        <v>840000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92400</v>
      </c>
      <c r="G499" s="18"/>
      <c r="H499" s="18"/>
      <c r="I499" s="18"/>
      <c r="J499" s="18"/>
      <c r="K499" s="53">
        <f t="shared" si="35"/>
        <v>92400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932400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932400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280000</v>
      </c>
      <c r="G501" s="204"/>
      <c r="H501" s="204"/>
      <c r="I501" s="204"/>
      <c r="J501" s="204"/>
      <c r="K501" s="205">
        <f t="shared" si="35"/>
        <v>280000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46200</v>
      </c>
      <c r="G502" s="18"/>
      <c r="H502" s="18"/>
      <c r="I502" s="18"/>
      <c r="J502" s="18"/>
      <c r="K502" s="53">
        <f t="shared" si="35"/>
        <v>46200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326200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326200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562003.65</v>
      </c>
      <c r="G521" s="18">
        <v>234803.22</v>
      </c>
      <c r="H521" s="18">
        <v>57664.05</v>
      </c>
      <c r="I521" s="18">
        <v>773.61</v>
      </c>
      <c r="J521" s="18">
        <v>1210.99</v>
      </c>
      <c r="K521" s="18"/>
      <c r="L521" s="88">
        <f>SUM(F521:K521)</f>
        <v>856455.52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27470.17</v>
      </c>
      <c r="G523" s="18">
        <v>11587.14</v>
      </c>
      <c r="H523" s="18">
        <v>93603.37</v>
      </c>
      <c r="I523" s="18"/>
      <c r="J523" s="18"/>
      <c r="K523" s="18"/>
      <c r="L523" s="88">
        <f>SUM(F523:K523)</f>
        <v>132660.68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589473.82000000007</v>
      </c>
      <c r="G524" s="108">
        <f t="shared" ref="G524:L524" si="36">SUM(G521:G523)</f>
        <v>246390.36</v>
      </c>
      <c r="H524" s="108">
        <f t="shared" si="36"/>
        <v>151267.41999999998</v>
      </c>
      <c r="I524" s="108">
        <f t="shared" si="36"/>
        <v>773.61</v>
      </c>
      <c r="J524" s="108">
        <f t="shared" si="36"/>
        <v>1210.99</v>
      </c>
      <c r="K524" s="108">
        <f t="shared" si="36"/>
        <v>0</v>
      </c>
      <c r="L524" s="89">
        <f t="shared" si="36"/>
        <v>989116.2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180749</v>
      </c>
      <c r="G526" s="18">
        <v>74303.34</v>
      </c>
      <c r="H526" s="18">
        <v>15441.18</v>
      </c>
      <c r="I526" s="18">
        <v>1930.55</v>
      </c>
      <c r="J526" s="18"/>
      <c r="K526" s="18"/>
      <c r="L526" s="88">
        <f>SUM(F526:K526)</f>
        <v>272424.07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180749</v>
      </c>
      <c r="G529" s="89">
        <f t="shared" ref="G529:L529" si="37">SUM(G526:G528)</f>
        <v>74303.34</v>
      </c>
      <c r="H529" s="89">
        <f t="shared" si="37"/>
        <v>15441.18</v>
      </c>
      <c r="I529" s="89">
        <f t="shared" si="37"/>
        <v>1930.55</v>
      </c>
      <c r="J529" s="89">
        <f t="shared" si="37"/>
        <v>0</v>
      </c>
      <c r="K529" s="89">
        <f t="shared" si="37"/>
        <v>0</v>
      </c>
      <c r="L529" s="89">
        <f t="shared" si="37"/>
        <v>272424.07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29408.31</v>
      </c>
      <c r="G531" s="18">
        <v>13435.56</v>
      </c>
      <c r="H531" s="18">
        <v>3576.15</v>
      </c>
      <c r="I531" s="18">
        <v>1027.4000000000001</v>
      </c>
      <c r="J531" s="18">
        <v>1177.42</v>
      </c>
      <c r="K531" s="18">
        <v>382.51</v>
      </c>
      <c r="L531" s="88">
        <f>SUM(F531:K531)</f>
        <v>49007.350000000006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12603.56</v>
      </c>
      <c r="G533" s="18">
        <v>5758.1</v>
      </c>
      <c r="H533" s="18">
        <v>1532.64</v>
      </c>
      <c r="I533" s="18">
        <v>440.31</v>
      </c>
      <c r="J533" s="18">
        <v>504.61</v>
      </c>
      <c r="K533" s="18">
        <v>163.93</v>
      </c>
      <c r="L533" s="88">
        <f>SUM(F533:K533)</f>
        <v>21003.15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42011.87</v>
      </c>
      <c r="G534" s="89">
        <f t="shared" ref="G534:L534" si="38">SUM(G531:G533)</f>
        <v>19193.66</v>
      </c>
      <c r="H534" s="89">
        <f t="shared" si="38"/>
        <v>5108.79</v>
      </c>
      <c r="I534" s="89">
        <f t="shared" si="38"/>
        <v>1467.71</v>
      </c>
      <c r="J534" s="89">
        <f t="shared" si="38"/>
        <v>1682.0300000000002</v>
      </c>
      <c r="K534" s="89">
        <f t="shared" si="38"/>
        <v>546.44000000000005</v>
      </c>
      <c r="L534" s="89">
        <f t="shared" si="38"/>
        <v>70010.5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9297.56</v>
      </c>
      <c r="I536" s="18"/>
      <c r="J536" s="18"/>
      <c r="K536" s="18"/>
      <c r="L536" s="88">
        <f>SUM(F536:K536)</f>
        <v>9297.56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372.15</v>
      </c>
      <c r="I538" s="18"/>
      <c r="J538" s="18"/>
      <c r="K538" s="18"/>
      <c r="L538" s="88">
        <f>SUM(F538:K538)</f>
        <v>372.15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9669.7099999999991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9669.7099999999991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18052.439999999999</v>
      </c>
      <c r="I541" s="18"/>
      <c r="J541" s="18"/>
      <c r="K541" s="18"/>
      <c r="L541" s="88">
        <f>SUM(F541:K541)</f>
        <v>18052.439999999999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31899.52</v>
      </c>
      <c r="I543" s="18"/>
      <c r="J543" s="18"/>
      <c r="K543" s="18"/>
      <c r="L543" s="88">
        <f>SUM(F543:K543)</f>
        <v>31899.52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49951.96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49951.96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812234.69000000006</v>
      </c>
      <c r="G545" s="89">
        <f t="shared" ref="G545:L545" si="41">G524+G529+G534+G539+G544</f>
        <v>339887.35999999993</v>
      </c>
      <c r="H545" s="89">
        <f t="shared" si="41"/>
        <v>231439.05999999997</v>
      </c>
      <c r="I545" s="89">
        <f t="shared" si="41"/>
        <v>4171.87</v>
      </c>
      <c r="J545" s="89">
        <f t="shared" si="41"/>
        <v>2893.0200000000004</v>
      </c>
      <c r="K545" s="89">
        <f t="shared" si="41"/>
        <v>546.44000000000005</v>
      </c>
      <c r="L545" s="89">
        <f t="shared" si="41"/>
        <v>1391172.44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856455.52</v>
      </c>
      <c r="G549" s="87">
        <f>L526</f>
        <v>272424.07</v>
      </c>
      <c r="H549" s="87">
        <f>L531</f>
        <v>49007.350000000006</v>
      </c>
      <c r="I549" s="87">
        <f>L536</f>
        <v>9297.56</v>
      </c>
      <c r="J549" s="87">
        <f>L541</f>
        <v>18052.439999999999</v>
      </c>
      <c r="K549" s="87">
        <f>SUM(F549:J549)</f>
        <v>1205236.9400000002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132660.68</v>
      </c>
      <c r="G551" s="87">
        <f>L528</f>
        <v>0</v>
      </c>
      <c r="H551" s="87">
        <f>L533</f>
        <v>21003.15</v>
      </c>
      <c r="I551" s="87">
        <f>L538</f>
        <v>372.15</v>
      </c>
      <c r="J551" s="87">
        <f>L543</f>
        <v>31899.52</v>
      </c>
      <c r="K551" s="87">
        <f>SUM(F551:J551)</f>
        <v>185935.49999999997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989116.2</v>
      </c>
      <c r="G552" s="89">
        <f t="shared" si="42"/>
        <v>272424.07</v>
      </c>
      <c r="H552" s="89">
        <f t="shared" si="42"/>
        <v>70010.5</v>
      </c>
      <c r="I552" s="89">
        <f t="shared" si="42"/>
        <v>9669.7099999999991</v>
      </c>
      <c r="J552" s="89">
        <f t="shared" si="42"/>
        <v>49951.96</v>
      </c>
      <c r="K552" s="89">
        <f t="shared" si="42"/>
        <v>1391172.4400000002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15204.75</v>
      </c>
      <c r="G562" s="18">
        <v>1165.94</v>
      </c>
      <c r="H562" s="18"/>
      <c r="I562" s="18"/>
      <c r="J562" s="18"/>
      <c r="K562" s="18"/>
      <c r="L562" s="88">
        <f>SUM(F562:K562)</f>
        <v>16370.69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15204.75</v>
      </c>
      <c r="G565" s="89">
        <f t="shared" si="44"/>
        <v>1165.94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16370.69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15204.75</v>
      </c>
      <c r="G571" s="89">
        <f t="shared" ref="G571:L571" si="46">G560+G565+G570</f>
        <v>1165.94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16370.69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2632788.08</v>
      </c>
      <c r="I575" s="87">
        <f>SUM(F575:H575)</f>
        <v>2632788.08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28079.5</v>
      </c>
      <c r="G579" s="18"/>
      <c r="H579" s="18">
        <v>34779.08</v>
      </c>
      <c r="I579" s="87">
        <f t="shared" si="47"/>
        <v>62858.58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>
        <v>54415.29</v>
      </c>
      <c r="I582" s="87">
        <f t="shared" si="47"/>
        <v>54415.29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217533.02</v>
      </c>
      <c r="I591" s="18"/>
      <c r="J591" s="18">
        <v>38388.18</v>
      </c>
      <c r="K591" s="104">
        <f t="shared" ref="K591:K597" si="48">SUM(H591:J591)</f>
        <v>255921.19999999998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18052.439999999999</v>
      </c>
      <c r="I592" s="18"/>
      <c r="J592" s="18">
        <v>31899.52</v>
      </c>
      <c r="K592" s="104">
        <f t="shared" si="48"/>
        <v>49951.96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5822.85</v>
      </c>
      <c r="I594" s="18"/>
      <c r="J594" s="18"/>
      <c r="K594" s="104">
        <f t="shared" si="48"/>
        <v>5822.85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12144.31</v>
      </c>
      <c r="I595" s="18"/>
      <c r="J595" s="18"/>
      <c r="K595" s="104">
        <f t="shared" si="48"/>
        <v>12144.31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253552.62</v>
      </c>
      <c r="I598" s="108">
        <f>SUM(I591:I597)</f>
        <v>0</v>
      </c>
      <c r="J598" s="108">
        <f>SUM(J591:J597)</f>
        <v>70287.7</v>
      </c>
      <c r="K598" s="108">
        <f>SUM(K591:K597)</f>
        <v>323840.31999999995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217211.5</v>
      </c>
      <c r="I604" s="18"/>
      <c r="J604" s="18">
        <v>408.99</v>
      </c>
      <c r="K604" s="104">
        <f>SUM(H604:J604)</f>
        <v>217620.49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217211.5</v>
      </c>
      <c r="I605" s="108">
        <f>SUM(I602:I604)</f>
        <v>0</v>
      </c>
      <c r="J605" s="108">
        <f>SUM(J602:J604)</f>
        <v>408.99</v>
      </c>
      <c r="K605" s="108">
        <f>SUM(K602:K604)</f>
        <v>217620.49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6532.5</v>
      </c>
      <c r="G611" s="18">
        <v>500.94</v>
      </c>
      <c r="H611" s="18">
        <v>7005.89</v>
      </c>
      <c r="I611" s="18"/>
      <c r="J611" s="18"/>
      <c r="K611" s="18"/>
      <c r="L611" s="88">
        <f>SUM(F611:K611)</f>
        <v>14039.33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>
        <v>3960</v>
      </c>
      <c r="I613" s="18"/>
      <c r="J613" s="18"/>
      <c r="K613" s="18"/>
      <c r="L613" s="88">
        <f>SUM(F613:K613)</f>
        <v>3960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6532.5</v>
      </c>
      <c r="G614" s="108">
        <f t="shared" si="49"/>
        <v>500.94</v>
      </c>
      <c r="H614" s="108">
        <f t="shared" si="49"/>
        <v>10965.89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17999.330000000002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1009694.21</v>
      </c>
      <c r="H617" s="109">
        <f>SUM(F52)</f>
        <v>1009694.21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2345.3200000000002</v>
      </c>
      <c r="H618" s="109">
        <f>SUM(G52)</f>
        <v>2345.3200000000002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28734.67</v>
      </c>
      <c r="H619" s="109">
        <f>SUM(H52)</f>
        <v>28734.670000000002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282993.78000000003</v>
      </c>
      <c r="H621" s="109">
        <f>SUM(J52)</f>
        <v>282993.78000000003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708524.11</v>
      </c>
      <c r="H622" s="109">
        <f>F476</f>
        <v>708524.11000000127</v>
      </c>
      <c r="I622" s="121" t="s">
        <v>101</v>
      </c>
      <c r="J622" s="109">
        <f t="shared" ref="J622:J655" si="50">G622-H622</f>
        <v>-1.280568540096283E-9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461.38</v>
      </c>
      <c r="H623" s="109">
        <f>G476</f>
        <v>461.38000000003376</v>
      </c>
      <c r="I623" s="121" t="s">
        <v>102</v>
      </c>
      <c r="J623" s="109">
        <f t="shared" si="50"/>
        <v>-3.3764990803319961E-11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10961.84</v>
      </c>
      <c r="H624" s="109">
        <f>H476</f>
        <v>10961.839999999997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282993.78000000003</v>
      </c>
      <c r="H626" s="109">
        <f>J476</f>
        <v>282993.77999999997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12521730.49</v>
      </c>
      <c r="H627" s="104">
        <f>SUM(F468)</f>
        <v>12521730.49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186773.00999999998</v>
      </c>
      <c r="H628" s="104">
        <f>SUM(G468)</f>
        <v>186773.01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181719.36000000002</v>
      </c>
      <c r="H629" s="104">
        <f>SUM(H468)</f>
        <v>181719.36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72.739999999999995</v>
      </c>
      <c r="H631" s="104">
        <f>SUM(J468)</f>
        <v>72.739999999999995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12049614.59</v>
      </c>
      <c r="H632" s="104">
        <f>SUM(F472)</f>
        <v>12049614.59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178859.44</v>
      </c>
      <c r="H633" s="104">
        <f>SUM(H472)</f>
        <v>178859.44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69296.479999999996</v>
      </c>
      <c r="H634" s="104">
        <f>I369</f>
        <v>69296.48000000001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186772.56</v>
      </c>
      <c r="H635" s="104">
        <f>SUM(G472)</f>
        <v>186772.56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72.739999999999995</v>
      </c>
      <c r="H637" s="164">
        <f>SUM(J468)</f>
        <v>72.739999999999995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282993.78000000003</v>
      </c>
      <c r="H640" s="104">
        <f>SUM(G461)</f>
        <v>282993.78000000003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282993.78000000003</v>
      </c>
      <c r="H642" s="104">
        <f>SUM(I461)</f>
        <v>282993.78000000003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72.739999999999995</v>
      </c>
      <c r="H644" s="104">
        <f>H408</f>
        <v>72.739999999999995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72.739999999999995</v>
      </c>
      <c r="H646" s="104">
        <f>L408</f>
        <v>72.739999999999995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323840.31999999995</v>
      </c>
      <c r="H647" s="104">
        <f>L208+L226+L244</f>
        <v>323840.32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217620.49</v>
      </c>
      <c r="H648" s="104">
        <f>(J257+J338)-(J255+J336)</f>
        <v>217620.49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253552.62</v>
      </c>
      <c r="H649" s="104">
        <f>H598</f>
        <v>253552.62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70287.7</v>
      </c>
      <c r="H651" s="104">
        <f>J598</f>
        <v>70287.7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9126.68</v>
      </c>
      <c r="H652" s="104">
        <f>K263+K345</f>
        <v>9126.68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1479.89</v>
      </c>
      <c r="H653" s="104">
        <f>K264</f>
        <v>1479.89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9115935.2300000004</v>
      </c>
      <c r="G660" s="19">
        <f>(L229+L309+L359)</f>
        <v>0</v>
      </c>
      <c r="H660" s="19">
        <f>(L247+L328+L360)</f>
        <v>2859600.61</v>
      </c>
      <c r="I660" s="19">
        <f>SUM(F660:H660)</f>
        <v>11975535.84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150688.4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150688.4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253552.62</v>
      </c>
      <c r="G662" s="19">
        <f>(L226+L306)-(J226+J306)</f>
        <v>0</v>
      </c>
      <c r="H662" s="19">
        <f>(L244+L325)-(J244+J325)</f>
        <v>70287.7</v>
      </c>
      <c r="I662" s="19">
        <f>SUM(F662:H662)</f>
        <v>323840.32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259330.33</v>
      </c>
      <c r="G663" s="199">
        <f>SUM(G575:G587)+SUM(I602:I604)+L612</f>
        <v>0</v>
      </c>
      <c r="H663" s="199">
        <f>SUM(H575:H587)+SUM(J602:J604)+L613</f>
        <v>2726351.4400000004</v>
      </c>
      <c r="I663" s="19">
        <f>SUM(F663:H663)</f>
        <v>2985681.7700000005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8452363.8800000008</v>
      </c>
      <c r="G664" s="19">
        <f>G660-SUM(G661:G663)</f>
        <v>0</v>
      </c>
      <c r="H664" s="19">
        <f>H660-SUM(H661:H663)</f>
        <v>62961.469999999274</v>
      </c>
      <c r="I664" s="19">
        <f>I660-SUM(I661:I663)</f>
        <v>8515325.3499999996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495.55</v>
      </c>
      <c r="G665" s="248"/>
      <c r="H665" s="248"/>
      <c r="I665" s="19">
        <f>SUM(F665:H665)</f>
        <v>495.55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17056.53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17183.580000000002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-62961.47</v>
      </c>
      <c r="I669" s="19">
        <f>SUM(F669:H669)</f>
        <v>-62961.47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17056.53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17056.53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2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RYE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3014006.25</v>
      </c>
      <c r="C9" s="229">
        <f>'DOE25'!G197+'DOE25'!G215+'DOE25'!G233+'DOE25'!G276+'DOE25'!G295+'DOE25'!G314</f>
        <v>1229850.3999999999</v>
      </c>
    </row>
    <row r="10" spans="1:3" x14ac:dyDescent="0.2">
      <c r="A10" t="s">
        <v>779</v>
      </c>
      <c r="B10" s="240">
        <v>2917273.92</v>
      </c>
      <c r="C10" s="240">
        <v>1190372.2</v>
      </c>
    </row>
    <row r="11" spans="1:3" x14ac:dyDescent="0.2">
      <c r="A11" t="s">
        <v>780</v>
      </c>
      <c r="B11" s="240">
        <v>96732.33</v>
      </c>
      <c r="C11" s="240">
        <v>39478.199999999997</v>
      </c>
    </row>
    <row r="12" spans="1:3" x14ac:dyDescent="0.2">
      <c r="A12" t="s">
        <v>781</v>
      </c>
      <c r="B12" s="240">
        <v>0</v>
      </c>
      <c r="C12" s="240">
        <v>0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3014006.25</v>
      </c>
      <c r="C13" s="231">
        <f>SUM(C10:C12)</f>
        <v>1229850.3999999999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598146.06999999995</v>
      </c>
      <c r="C18" s="229">
        <f>'DOE25'!G198+'DOE25'!G216+'DOE25'!G234+'DOE25'!G277+'DOE25'!G296+'DOE25'!G315</f>
        <v>245889.34</v>
      </c>
    </row>
    <row r="19" spans="1:3" x14ac:dyDescent="0.2">
      <c r="A19" t="s">
        <v>779</v>
      </c>
      <c r="B19" s="240">
        <v>401719</v>
      </c>
      <c r="C19" s="240">
        <v>165139.28</v>
      </c>
    </row>
    <row r="20" spans="1:3" x14ac:dyDescent="0.2">
      <c r="A20" t="s">
        <v>780</v>
      </c>
      <c r="B20" s="240">
        <v>181222.32</v>
      </c>
      <c r="C20" s="240">
        <v>74504.45</v>
      </c>
    </row>
    <row r="21" spans="1:3" x14ac:dyDescent="0.2">
      <c r="A21" t="s">
        <v>781</v>
      </c>
      <c r="B21" s="240">
        <v>15204.75</v>
      </c>
      <c r="C21" s="240">
        <v>6245.61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598146.07000000007</v>
      </c>
      <c r="C22" s="231">
        <f>SUM(C19:C21)</f>
        <v>245889.33999999997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 t="s">
        <v>287</v>
      </c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82534.3</v>
      </c>
      <c r="C36" s="235">
        <f>'DOE25'!G200+'DOE25'!G218+'DOE25'!G236+'DOE25'!G279+'DOE25'!G298+'DOE25'!G317</f>
        <v>4595.76</v>
      </c>
    </row>
    <row r="37" spans="1:3" x14ac:dyDescent="0.2">
      <c r="A37" t="s">
        <v>779</v>
      </c>
      <c r="B37" s="240">
        <v>36077.5</v>
      </c>
      <c r="C37" s="240">
        <v>2008.35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46456.800000000003</v>
      </c>
      <c r="C39" s="240">
        <v>2587.41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82534.3</v>
      </c>
      <c r="C40" s="231">
        <f>SUM(C37:C39)</f>
        <v>4595.76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RYE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8110959.2999999989</v>
      </c>
      <c r="D5" s="20">
        <f>SUM('DOE25'!L197:L200)+SUM('DOE25'!L215:L218)+SUM('DOE25'!L233:L236)-F5-G5</f>
        <v>8099489.0499999989</v>
      </c>
      <c r="E5" s="243"/>
      <c r="F5" s="255">
        <f>SUM('DOE25'!J197:J200)+SUM('DOE25'!J215:J218)+SUM('DOE25'!J233:J236)</f>
        <v>10870.25</v>
      </c>
      <c r="G5" s="53">
        <f>SUM('DOE25'!K197:K200)+SUM('DOE25'!K215:K218)+SUM('DOE25'!K233:K236)</f>
        <v>600</v>
      </c>
      <c r="H5" s="259"/>
    </row>
    <row r="6" spans="1:9" x14ac:dyDescent="0.2">
      <c r="A6" s="32">
        <v>2100</v>
      </c>
      <c r="B6" t="s">
        <v>801</v>
      </c>
      <c r="C6" s="245">
        <f t="shared" si="0"/>
        <v>608401.84000000008</v>
      </c>
      <c r="D6" s="20">
        <f>'DOE25'!L202+'DOE25'!L220+'DOE25'!L238-F6-G6</f>
        <v>608401.84000000008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626749.67000000004</v>
      </c>
      <c r="D7" s="20">
        <f>'DOE25'!L203+'DOE25'!L221+'DOE25'!L239-F7-G7</f>
        <v>543157.91</v>
      </c>
      <c r="E7" s="243"/>
      <c r="F7" s="255">
        <f>'DOE25'!J203+'DOE25'!J221+'DOE25'!J239</f>
        <v>79833.759999999995</v>
      </c>
      <c r="G7" s="53">
        <f>'DOE25'!K203+'DOE25'!K221+'DOE25'!K239</f>
        <v>3758</v>
      </c>
      <c r="H7" s="259"/>
    </row>
    <row r="8" spans="1:9" x14ac:dyDescent="0.2">
      <c r="A8" s="32">
        <v>2300</v>
      </c>
      <c r="B8" t="s">
        <v>802</v>
      </c>
      <c r="C8" s="245">
        <f t="shared" si="0"/>
        <v>351408.37000000005</v>
      </c>
      <c r="D8" s="243"/>
      <c r="E8" s="20">
        <f>'DOE25'!L204+'DOE25'!L222+'DOE25'!L240-F8-G8-D9-D11</f>
        <v>344756.29000000004</v>
      </c>
      <c r="F8" s="255">
        <f>'DOE25'!J204+'DOE25'!J222+'DOE25'!J240</f>
        <v>0</v>
      </c>
      <c r="G8" s="53">
        <f>'DOE25'!K204+'DOE25'!K222+'DOE25'!K240</f>
        <v>6652.08</v>
      </c>
      <c r="H8" s="259"/>
    </row>
    <row r="9" spans="1:9" x14ac:dyDescent="0.2">
      <c r="A9" s="32">
        <v>2310</v>
      </c>
      <c r="B9" t="s">
        <v>818</v>
      </c>
      <c r="C9" s="245">
        <f t="shared" si="0"/>
        <v>33749.83</v>
      </c>
      <c r="D9" s="244">
        <v>33749.83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7450</v>
      </c>
      <c r="D10" s="243"/>
      <c r="E10" s="244">
        <v>7450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236245</v>
      </c>
      <c r="D11" s="244">
        <v>236245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475644.18999999994</v>
      </c>
      <c r="D12" s="20">
        <f>'DOE25'!L205+'DOE25'!L223+'DOE25'!L241-F12-G12</f>
        <v>473513.05999999994</v>
      </c>
      <c r="E12" s="243"/>
      <c r="F12" s="255">
        <f>'DOE25'!J205+'DOE25'!J223+'DOE25'!J241</f>
        <v>1896.13</v>
      </c>
      <c r="G12" s="53">
        <f>'DOE25'!K205+'DOE25'!K223+'DOE25'!K241</f>
        <v>235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10807.91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10807.91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773594.89999999991</v>
      </c>
      <c r="D14" s="20">
        <f>'DOE25'!L207+'DOE25'!L225+'DOE25'!L243-F14-G14</f>
        <v>768769.08</v>
      </c>
      <c r="E14" s="243"/>
      <c r="F14" s="255">
        <f>'DOE25'!J207+'DOE25'!J225+'DOE25'!J243</f>
        <v>4825.82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323840.32</v>
      </c>
      <c r="D15" s="20">
        <f>'DOE25'!L208+'DOE25'!L226+'DOE25'!L244-F15-G15</f>
        <v>323840.32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59970.46</v>
      </c>
      <c r="D16" s="243"/>
      <c r="E16" s="20">
        <f>'DOE25'!L209+'DOE25'!L227+'DOE25'!L245-F16-G16</f>
        <v>15931.46</v>
      </c>
      <c r="F16" s="255">
        <f>'DOE25'!J209+'DOE25'!J227+'DOE25'!J245</f>
        <v>44039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86036.23</v>
      </c>
      <c r="D22" s="243"/>
      <c r="E22" s="243"/>
      <c r="F22" s="255">
        <f>'DOE25'!L255+'DOE25'!L336</f>
        <v>86036.23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341600</v>
      </c>
      <c r="D25" s="243"/>
      <c r="E25" s="243"/>
      <c r="F25" s="258"/>
      <c r="G25" s="256"/>
      <c r="H25" s="257">
        <f>'DOE25'!L260+'DOE25'!L261+'DOE25'!L341+'DOE25'!L342</f>
        <v>341600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122717.01</v>
      </c>
      <c r="D29" s="20">
        <f>'DOE25'!L358+'DOE25'!L359+'DOE25'!L360-'DOE25'!I367-F29-G29</f>
        <v>118693.01</v>
      </c>
      <c r="E29" s="243"/>
      <c r="F29" s="255">
        <f>'DOE25'!J358+'DOE25'!J359+'DOE25'!J360</f>
        <v>4024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177391.49</v>
      </c>
      <c r="D31" s="20">
        <f>'DOE25'!L290+'DOE25'!L309+'DOE25'!L328+'DOE25'!L333+'DOE25'!L334+'DOE25'!L335-F31-G31</f>
        <v>94556.829999999987</v>
      </c>
      <c r="E31" s="243"/>
      <c r="F31" s="255">
        <f>'DOE25'!J290+'DOE25'!J309+'DOE25'!J328+'DOE25'!J333+'DOE25'!J334+'DOE25'!J335</f>
        <v>76155.53</v>
      </c>
      <c r="G31" s="53">
        <f>'DOE25'!K290+'DOE25'!K309+'DOE25'!K328+'DOE25'!K333+'DOE25'!K334+'DOE25'!K335</f>
        <v>6679.13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11300415.93</v>
      </c>
      <c r="E33" s="246">
        <f>SUM(E5:E31)</f>
        <v>368137.75000000006</v>
      </c>
      <c r="F33" s="246">
        <f>SUM(F5:F31)</f>
        <v>307680.71999999997</v>
      </c>
      <c r="G33" s="246">
        <f>SUM(G5:G31)</f>
        <v>28732.12</v>
      </c>
      <c r="H33" s="246">
        <f>SUM(H5:H31)</f>
        <v>341600</v>
      </c>
    </row>
    <row r="35" spans="2:8" ht="12" thickBot="1" x14ac:dyDescent="0.25">
      <c r="B35" s="253" t="s">
        <v>847</v>
      </c>
      <c r="D35" s="254">
        <f>E33</f>
        <v>368137.75000000006</v>
      </c>
      <c r="E35" s="249"/>
    </row>
    <row r="36" spans="2:8" ht="12" thickTop="1" x14ac:dyDescent="0.2">
      <c r="B36" t="s">
        <v>815</v>
      </c>
      <c r="D36" s="20">
        <f>D33</f>
        <v>11300415.93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RYE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988088.21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282993.78000000003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11985.88</v>
      </c>
      <c r="D11" s="95">
        <f>'DOE25'!G12</f>
        <v>0</v>
      </c>
      <c r="E11" s="95">
        <f>'DOE25'!H12</f>
        <v>10961.84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9620.1200000000008</v>
      </c>
      <c r="D12" s="95">
        <f>'DOE25'!G13</f>
        <v>1883.94</v>
      </c>
      <c r="E12" s="95">
        <f>'DOE25'!H13</f>
        <v>11022.83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6750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461.38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1009694.21</v>
      </c>
      <c r="D18" s="41">
        <f>SUM(D8:D17)</f>
        <v>2345.3200000000002</v>
      </c>
      <c r="E18" s="41">
        <f>SUM(E8:E17)</f>
        <v>28734.67</v>
      </c>
      <c r="F18" s="41">
        <f>SUM(F8:F17)</f>
        <v>0</v>
      </c>
      <c r="G18" s="41">
        <f>SUM(G8:G17)</f>
        <v>282993.78000000003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10961.84</v>
      </c>
      <c r="D21" s="95">
        <f>'DOE25'!G22</f>
        <v>198.05</v>
      </c>
      <c r="E21" s="95">
        <f>'DOE25'!H22</f>
        <v>11787.83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841.25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234964.44</v>
      </c>
      <c r="D23" s="95">
        <f>'DOE25'!G24</f>
        <v>1685.89</v>
      </c>
      <c r="E23" s="95">
        <f>'DOE25'!H24</f>
        <v>700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54402.57</v>
      </c>
      <c r="D28" s="95">
        <f>'DOE25'!G29</f>
        <v>0</v>
      </c>
      <c r="E28" s="95">
        <f>'DOE25'!H29</f>
        <v>5285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301170.09999999998</v>
      </c>
      <c r="D31" s="41">
        <f>SUM(D21:D30)</f>
        <v>1883.94</v>
      </c>
      <c r="E31" s="41">
        <f>SUM(E21:E30)</f>
        <v>17772.830000000002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461.38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297202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10961.84</v>
      </c>
      <c r="F47" s="95">
        <f>'DOE25'!I48</f>
        <v>0</v>
      </c>
      <c r="G47" s="95">
        <f>'DOE25'!J48</f>
        <v>282993.78000000003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411322.11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708524.11</v>
      </c>
      <c r="D50" s="41">
        <f>SUM(D34:D49)</f>
        <v>461.38</v>
      </c>
      <c r="E50" s="41">
        <f>SUM(E34:E49)</f>
        <v>10961.84</v>
      </c>
      <c r="F50" s="41">
        <f>SUM(F34:F49)</f>
        <v>0</v>
      </c>
      <c r="G50" s="41">
        <f>SUM(G34:G49)</f>
        <v>282993.78000000003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1009694.21</v>
      </c>
      <c r="D51" s="41">
        <f>D50+D31</f>
        <v>2345.3200000000002</v>
      </c>
      <c r="E51" s="41">
        <f>E50+E31</f>
        <v>28734.670000000002</v>
      </c>
      <c r="F51" s="41">
        <f>F50+F31</f>
        <v>0</v>
      </c>
      <c r="G51" s="41">
        <f>G50+G31</f>
        <v>282993.78000000003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7590621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415092.19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72.739999999999995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150688.4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3069.36</v>
      </c>
      <c r="D61" s="95">
        <f>SUM('DOE25'!G98:G110)</f>
        <v>0</v>
      </c>
      <c r="E61" s="95">
        <f>SUM('DOE25'!H98:H110)</f>
        <v>104095.47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418161.55</v>
      </c>
      <c r="D62" s="130">
        <f>SUM(D57:D61)</f>
        <v>150688.4</v>
      </c>
      <c r="E62" s="130">
        <f>SUM(E57:E61)</f>
        <v>104095.47</v>
      </c>
      <c r="F62" s="130">
        <f>SUM(F57:F61)</f>
        <v>0</v>
      </c>
      <c r="G62" s="130">
        <f>SUM(G57:G61)</f>
        <v>72.739999999999995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8008782.5499999998</v>
      </c>
      <c r="D63" s="22">
        <f>D56+D62</f>
        <v>150688.4</v>
      </c>
      <c r="E63" s="22">
        <f>E56+E62</f>
        <v>104095.47</v>
      </c>
      <c r="F63" s="22">
        <f>F56+F62</f>
        <v>0</v>
      </c>
      <c r="G63" s="22">
        <f>G56+G62</f>
        <v>72.739999999999995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0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4297456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4297456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116411.54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29454.25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2447.25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145865.78999999998</v>
      </c>
      <c r="D78" s="130">
        <f>SUM(D72:D77)</f>
        <v>2447.25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4443321.79</v>
      </c>
      <c r="D81" s="130">
        <f>SUM(D79:D80)+D78+D70</f>
        <v>2447.25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68788.75</v>
      </c>
      <c r="D88" s="95">
        <f>SUM('DOE25'!G153:G161)</f>
        <v>24510.68</v>
      </c>
      <c r="E88" s="95">
        <f>SUM('DOE25'!H153:H161)</f>
        <v>76144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68788.75</v>
      </c>
      <c r="D91" s="131">
        <f>SUM(D85:D90)</f>
        <v>24510.68</v>
      </c>
      <c r="E91" s="131">
        <f>SUM(E85:E90)</f>
        <v>76144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9126.68</v>
      </c>
      <c r="E96" s="95">
        <f>'DOE25'!H179</f>
        <v>1479.89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837.4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837.4</v>
      </c>
      <c r="D103" s="86">
        <f>SUM(D93:D102)</f>
        <v>9126.68</v>
      </c>
      <c r="E103" s="86">
        <f>SUM(E93:E102)</f>
        <v>1479.89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12521730.49</v>
      </c>
      <c r="D104" s="86">
        <f>D63+D81+D91+D103</f>
        <v>186773.00999999998</v>
      </c>
      <c r="E104" s="86">
        <f>E63+E81+E91+E103</f>
        <v>181719.36000000002</v>
      </c>
      <c r="F104" s="86">
        <f>F63+F81+F91+F103</f>
        <v>0</v>
      </c>
      <c r="G104" s="86">
        <f>G63+G81+G103</f>
        <v>72.739999999999995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6991530.4699999988</v>
      </c>
      <c r="D109" s="24" t="s">
        <v>289</v>
      </c>
      <c r="E109" s="95">
        <f>('DOE25'!L276)+('DOE25'!L295)+('DOE25'!L314)</f>
        <v>39437.630000000005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996400.1399999999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123028.69000000002</v>
      </c>
      <c r="D112" s="24" t="s">
        <v>289</v>
      </c>
      <c r="E112" s="95">
        <f>+('DOE25'!L279)+('DOE25'!L298)+('DOE25'!L317)</f>
        <v>57048.45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8110959.2999999989</v>
      </c>
      <c r="D115" s="86">
        <f>SUM(D109:D114)</f>
        <v>0</v>
      </c>
      <c r="E115" s="86">
        <f>SUM(E109:E114)</f>
        <v>96486.080000000002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608401.84000000008</v>
      </c>
      <c r="D118" s="24" t="s">
        <v>289</v>
      </c>
      <c r="E118" s="95">
        <f>+('DOE25'!L281)+('DOE25'!L300)+('DOE25'!L319)</f>
        <v>4012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626749.67000000004</v>
      </c>
      <c r="D119" s="24" t="s">
        <v>289</v>
      </c>
      <c r="E119" s="95">
        <f>+('DOE25'!L282)+('DOE25'!L301)+('DOE25'!L320)</f>
        <v>66153.41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621403.19999999995</v>
      </c>
      <c r="D120" s="24" t="s">
        <v>289</v>
      </c>
      <c r="E120" s="95">
        <f>+('DOE25'!L283)+('DOE25'!L302)+('DOE25'!L321)</f>
        <v>6136.34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475644.18999999994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10807.91</v>
      </c>
      <c r="D122" s="24" t="s">
        <v>289</v>
      </c>
      <c r="E122" s="95">
        <f>+('DOE25'!L285)+('DOE25'!L304)+('DOE25'!L323)</f>
        <v>492.79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773594.89999999991</v>
      </c>
      <c r="D123" s="24" t="s">
        <v>289</v>
      </c>
      <c r="E123" s="95">
        <f>+('DOE25'!L286)+('DOE25'!L305)+('DOE25'!L324)</f>
        <v>2767.26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323840.32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59970.46</v>
      </c>
      <c r="D125" s="24" t="s">
        <v>289</v>
      </c>
      <c r="E125" s="95">
        <f>+('DOE25'!L288)+('DOE25'!L307)+('DOE25'!L326)</f>
        <v>1343.61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186772.56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3500412.49</v>
      </c>
      <c r="D128" s="86">
        <f>SUM(D118:D127)</f>
        <v>186772.56</v>
      </c>
      <c r="E128" s="86">
        <f>SUM(E118:E127)</f>
        <v>80905.409999999989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86036.23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280000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61600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1467.95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9126.68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1479.89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72.739999999999995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-72.739999999999995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438242.8</v>
      </c>
      <c r="D144" s="141">
        <f>SUM(D130:D143)</f>
        <v>0</v>
      </c>
      <c r="E144" s="141">
        <f>SUM(E130:E143)</f>
        <v>1467.95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12049614.59</v>
      </c>
      <c r="D145" s="86">
        <f>(D115+D128+D144)</f>
        <v>186772.56</v>
      </c>
      <c r="E145" s="86">
        <f>(E115+E128+E144)</f>
        <v>178859.44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12/96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01/17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8844720.8000000007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5.45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1120000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1120000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280000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280000</v>
      </c>
    </row>
    <row r="159" spans="1:9" x14ac:dyDescent="0.2">
      <c r="A159" s="22" t="s">
        <v>35</v>
      </c>
      <c r="B159" s="137">
        <f>'DOE25'!F498</f>
        <v>840000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840000</v>
      </c>
    </row>
    <row r="160" spans="1:9" x14ac:dyDescent="0.2">
      <c r="A160" s="22" t="s">
        <v>36</v>
      </c>
      <c r="B160" s="137">
        <f>'DOE25'!F499</f>
        <v>92400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92400</v>
      </c>
    </row>
    <row r="161" spans="1:7" x14ac:dyDescent="0.2">
      <c r="A161" s="22" t="s">
        <v>37</v>
      </c>
      <c r="B161" s="137">
        <f>'DOE25'!F500</f>
        <v>932400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932400</v>
      </c>
    </row>
    <row r="162" spans="1:7" x14ac:dyDescent="0.2">
      <c r="A162" s="22" t="s">
        <v>38</v>
      </c>
      <c r="B162" s="137">
        <f>'DOE25'!F501</f>
        <v>280000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280000</v>
      </c>
    </row>
    <row r="163" spans="1:7" x14ac:dyDescent="0.2">
      <c r="A163" s="22" t="s">
        <v>39</v>
      </c>
      <c r="B163" s="137">
        <f>'DOE25'!F502</f>
        <v>46200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46200</v>
      </c>
    </row>
    <row r="164" spans="1:7" x14ac:dyDescent="0.2">
      <c r="A164" s="22" t="s">
        <v>246</v>
      </c>
      <c r="B164" s="137">
        <f>'DOE25'!F503</f>
        <v>326200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326200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RYE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17057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17057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7030968</v>
      </c>
      <c r="D10" s="182">
        <f>ROUND((C10/$C$28)*100,1)</f>
        <v>59.2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996400</v>
      </c>
      <c r="D11" s="182">
        <f>ROUND((C11/$C$28)*100,1)</f>
        <v>8.4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180077</v>
      </c>
      <c r="D13" s="182">
        <f>ROUND((C13/$C$28)*100,1)</f>
        <v>1.5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612414</v>
      </c>
      <c r="D15" s="182">
        <f t="shared" ref="D15:D27" si="0">ROUND((C15/$C$28)*100,1)</f>
        <v>5.2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692903</v>
      </c>
      <c r="D16" s="182">
        <f t="shared" si="0"/>
        <v>5.8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688854</v>
      </c>
      <c r="D17" s="182">
        <f t="shared" si="0"/>
        <v>5.8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475644</v>
      </c>
      <c r="D18" s="182">
        <f t="shared" si="0"/>
        <v>4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11301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776362</v>
      </c>
      <c r="D20" s="182">
        <f t="shared" si="0"/>
        <v>6.5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323840</v>
      </c>
      <c r="D21" s="182">
        <f t="shared" si="0"/>
        <v>2.7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61600</v>
      </c>
      <c r="D25" s="182">
        <f t="shared" si="0"/>
        <v>0.5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36084.600000000006</v>
      </c>
      <c r="D27" s="182">
        <f t="shared" si="0"/>
        <v>0.3</v>
      </c>
    </row>
    <row r="28" spans="1:4" x14ac:dyDescent="0.2">
      <c r="B28" s="187" t="s">
        <v>723</v>
      </c>
      <c r="C28" s="180">
        <f>SUM(C10:C27)</f>
        <v>11886447.6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86036</v>
      </c>
    </row>
    <row r="30" spans="1:4" x14ac:dyDescent="0.2">
      <c r="B30" s="187" t="s">
        <v>729</v>
      </c>
      <c r="C30" s="180">
        <f>SUM(C28:C29)</f>
        <v>11972483.6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280000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7590621</v>
      </c>
      <c r="D35" s="182">
        <f t="shared" ref="D35:D40" si="1">ROUND((C35/$C$41)*100,1)</f>
        <v>59.6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522329.76000000071</v>
      </c>
      <c r="D36" s="182">
        <f t="shared" si="1"/>
        <v>4.0999999999999996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4297456</v>
      </c>
      <c r="D37" s="182">
        <f t="shared" si="1"/>
        <v>33.799999999999997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148313</v>
      </c>
      <c r="D38" s="182">
        <f t="shared" si="1"/>
        <v>1.2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169443</v>
      </c>
      <c r="D39" s="182">
        <f t="shared" si="1"/>
        <v>1.3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12728162.760000002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RYE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2014-07-16T17:56:23Z</cp:lastPrinted>
  <dcterms:created xsi:type="dcterms:W3CDTF">1997-12-04T19:04:30Z</dcterms:created>
  <dcterms:modified xsi:type="dcterms:W3CDTF">2014-08-11T12:26:12Z</dcterms:modified>
</cp:coreProperties>
</file>