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270" windowWidth="12735" windowHeight="62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8" i="1"/>
  <c r="C30" i="12" l="1"/>
  <c r="C29" i="12"/>
  <c r="C28" i="12"/>
  <c r="C20" i="12"/>
  <c r="C19" i="12"/>
  <c r="C21" i="12"/>
  <c r="I499" i="1" l="1"/>
  <c r="F12" i="1" l="1"/>
  <c r="J604" i="1" l="1"/>
  <c r="J239" i="1" l="1"/>
  <c r="J221" i="1"/>
  <c r="J203" i="1"/>
  <c r="H234" i="1"/>
  <c r="F49" i="1" l="1"/>
  <c r="H376" i="1"/>
  <c r="I48" i="1"/>
  <c r="I207" i="1"/>
  <c r="I243" i="1" l="1"/>
  <c r="I239" i="1"/>
  <c r="I238" i="1"/>
  <c r="I236" i="1"/>
  <c r="I234" i="1"/>
  <c r="I225" i="1"/>
  <c r="I223" i="1"/>
  <c r="I221" i="1"/>
  <c r="I220" i="1"/>
  <c r="I218" i="1"/>
  <c r="I216" i="1"/>
  <c r="I203" i="1"/>
  <c r="I202" i="1"/>
  <c r="I198" i="1"/>
  <c r="H236" i="1"/>
  <c r="H218" i="1"/>
  <c r="H244" i="1"/>
  <c r="H226" i="1"/>
  <c r="H208" i="1"/>
  <c r="G243" i="1"/>
  <c r="H243" i="1"/>
  <c r="H238" i="1"/>
  <c r="H225" i="1"/>
  <c r="H220" i="1"/>
  <c r="H216" i="1"/>
  <c r="H207" i="1"/>
  <c r="H202" i="1"/>
  <c r="H198" i="1"/>
  <c r="G48" i="1"/>
  <c r="G24" i="1"/>
  <c r="G523" i="1" l="1"/>
  <c r="H523" i="1"/>
  <c r="I523" i="1"/>
  <c r="J523" i="1"/>
  <c r="K523" i="1"/>
  <c r="F523" i="1"/>
  <c r="G521" i="1"/>
  <c r="H521" i="1"/>
  <c r="I521" i="1"/>
  <c r="J521" i="1"/>
  <c r="K521" i="1"/>
  <c r="G522" i="1"/>
  <c r="H522" i="1"/>
  <c r="I522" i="1"/>
  <c r="J522" i="1"/>
  <c r="K522" i="1"/>
  <c r="F522" i="1"/>
  <c r="F521" i="1"/>
  <c r="J564" i="1"/>
  <c r="J563" i="1"/>
  <c r="J562" i="1"/>
  <c r="I564" i="1"/>
  <c r="I563" i="1"/>
  <c r="I562" i="1"/>
  <c r="H564" i="1"/>
  <c r="H563" i="1"/>
  <c r="H562" i="1"/>
  <c r="G563" i="1"/>
  <c r="G564" i="1"/>
  <c r="G562" i="1"/>
  <c r="F562" i="1"/>
  <c r="F564" i="1"/>
  <c r="F563" i="1"/>
  <c r="I526" i="1"/>
  <c r="H526" i="1"/>
  <c r="G527" i="1"/>
  <c r="G528" i="1"/>
  <c r="G526" i="1"/>
  <c r="F526" i="1"/>
  <c r="H538" i="1"/>
  <c r="H537" i="1"/>
  <c r="H536" i="1"/>
  <c r="G532" i="1" l="1"/>
  <c r="G533" i="1"/>
  <c r="G531" i="1"/>
  <c r="F533" i="1"/>
  <c r="F532" i="1"/>
  <c r="F531" i="1"/>
  <c r="I613" i="1" l="1"/>
  <c r="I612" i="1"/>
  <c r="I611" i="1"/>
  <c r="G613" i="1"/>
  <c r="G612" i="1"/>
  <c r="G611" i="1"/>
  <c r="F613" i="1"/>
  <c r="F612" i="1"/>
  <c r="F611" i="1"/>
  <c r="G233" i="1" l="1"/>
  <c r="G241" i="1" l="1"/>
  <c r="G239" i="1"/>
  <c r="G238" i="1"/>
  <c r="G236" i="1"/>
  <c r="G234" i="1"/>
  <c r="G225" i="1"/>
  <c r="G223" i="1"/>
  <c r="G221" i="1"/>
  <c r="G220" i="1"/>
  <c r="G218" i="1"/>
  <c r="G216" i="1"/>
  <c r="G215" i="1"/>
  <c r="G207" i="1"/>
  <c r="G205" i="1"/>
  <c r="G203" i="1"/>
  <c r="G202" i="1"/>
  <c r="G198" i="1"/>
  <c r="G197" i="1"/>
  <c r="H282" i="1" l="1"/>
  <c r="H277" i="1"/>
  <c r="F233" i="1" l="1"/>
  <c r="F243" i="1"/>
  <c r="F239" i="1"/>
  <c r="F238" i="1"/>
  <c r="F236" i="1"/>
  <c r="F234" i="1"/>
  <c r="F225" i="1"/>
  <c r="F221" i="1"/>
  <c r="F220" i="1"/>
  <c r="F218" i="1"/>
  <c r="F216" i="1"/>
  <c r="F215" i="1"/>
  <c r="F207" i="1"/>
  <c r="F203" i="1"/>
  <c r="F202" i="1"/>
  <c r="F198" i="1"/>
  <c r="F197" i="1"/>
  <c r="J592" i="1" l="1"/>
  <c r="I592" i="1"/>
  <c r="H592" i="1"/>
  <c r="H325" i="1"/>
  <c r="H306" i="1"/>
  <c r="H287" i="1"/>
  <c r="F582" i="1" l="1"/>
  <c r="B28" i="12" l="1"/>
  <c r="I24" i="1" l="1"/>
  <c r="G13" i="1" l="1"/>
  <c r="F502" i="1" l="1"/>
  <c r="H502" i="1"/>
  <c r="G502" i="1"/>
  <c r="I502" i="1"/>
  <c r="G499" i="1"/>
  <c r="F499" i="1"/>
  <c r="G498" i="1"/>
  <c r="H498" i="1"/>
  <c r="F498" i="1"/>
  <c r="H241" i="1" l="1"/>
  <c r="H239" i="1"/>
  <c r="H223" i="1"/>
  <c r="H205" i="1"/>
  <c r="H400" i="1" l="1"/>
  <c r="K204" i="1"/>
  <c r="K234" i="1"/>
  <c r="K216" i="1"/>
  <c r="K198" i="1"/>
  <c r="K240" i="1"/>
  <c r="K222" i="1"/>
  <c r="F29" i="1"/>
  <c r="G251" i="1" l="1"/>
  <c r="G235" i="1"/>
  <c r="F251" i="1"/>
  <c r="F110" i="1" l="1"/>
  <c r="J376" i="1"/>
  <c r="G440" i="1"/>
  <c r="H157" i="1" l="1"/>
  <c r="I333" i="1"/>
  <c r="H159" i="1"/>
  <c r="H48" i="1"/>
  <c r="H155" i="1" l="1"/>
  <c r="H154" i="1"/>
  <c r="H156" i="1"/>
  <c r="H13" i="1"/>
  <c r="I314" i="1"/>
  <c r="J314" i="1"/>
  <c r="G97" i="1" l="1"/>
  <c r="F78" i="1" l="1"/>
  <c r="F57" i="1"/>
  <c r="F127" i="1"/>
  <c r="H281" i="1" l="1"/>
  <c r="G315" i="1"/>
  <c r="F315" i="1"/>
  <c r="I295" i="1"/>
  <c r="G296" i="1"/>
  <c r="F296" i="1"/>
  <c r="H320" i="1"/>
  <c r="G320" i="1"/>
  <c r="F320" i="1"/>
  <c r="G282" i="1"/>
  <c r="F282" i="1"/>
  <c r="H319" i="1"/>
  <c r="H315" i="1" l="1"/>
  <c r="J277" i="1"/>
  <c r="I277" i="1"/>
  <c r="G277" i="1"/>
  <c r="F277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3" i="10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J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E124" i="2" s="1"/>
  <c r="L326" i="1"/>
  <c r="L333" i="1"/>
  <c r="E114" i="2" s="1"/>
  <c r="L334" i="1"/>
  <c r="L335" i="1"/>
  <c r="L260" i="1"/>
  <c r="L261" i="1"/>
  <c r="C132" i="2" s="1"/>
  <c r="L341" i="1"/>
  <c r="L342" i="1"/>
  <c r="L255" i="1"/>
  <c r="F22" i="13" s="1"/>
  <c r="C22" i="13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B9" i="12"/>
  <c r="B13" i="12"/>
  <c r="C9" i="12"/>
  <c r="C13" i="12"/>
  <c r="B18" i="12"/>
  <c r="B22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I665" i="1"/>
  <c r="I670" i="1"/>
  <c r="I669" i="1"/>
  <c r="C42" i="10"/>
  <c r="C32" i="10"/>
  <c r="L374" i="1"/>
  <c r="L375" i="1"/>
  <c r="L376" i="1"/>
  <c r="C29" i="10" s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F18" i="2" s="1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D115" i="2"/>
  <c r="F115" i="2"/>
  <c r="G115" i="2"/>
  <c r="E119" i="2"/>
  <c r="E120" i="2"/>
  <c r="E121" i="2"/>
  <c r="E122" i="2"/>
  <c r="E123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I571" i="1" s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22" i="1"/>
  <c r="G623" i="1"/>
  <c r="H634" i="1"/>
  <c r="H638" i="1"/>
  <c r="H639" i="1"/>
  <c r="G640" i="1"/>
  <c r="G641" i="1"/>
  <c r="H641" i="1"/>
  <c r="G643" i="1"/>
  <c r="H643" i="1"/>
  <c r="G644" i="1"/>
  <c r="G650" i="1"/>
  <c r="G652" i="1"/>
  <c r="H652" i="1"/>
  <c r="G653" i="1"/>
  <c r="H653" i="1"/>
  <c r="G654" i="1"/>
  <c r="H654" i="1"/>
  <c r="H655" i="1"/>
  <c r="F192" i="1"/>
  <c r="C26" i="10"/>
  <c r="L351" i="1"/>
  <c r="C70" i="2"/>
  <c r="D18" i="13"/>
  <c r="C18" i="13" s="1"/>
  <c r="D17" i="13"/>
  <c r="C17" i="13" s="1"/>
  <c r="F78" i="2"/>
  <c r="F81" i="2" s="1"/>
  <c r="G157" i="2"/>
  <c r="E103" i="2"/>
  <c r="D91" i="2"/>
  <c r="G62" i="2"/>
  <c r="E78" i="2"/>
  <c r="E81" i="2" s="1"/>
  <c r="L427" i="1"/>
  <c r="H112" i="1"/>
  <c r="J641" i="1"/>
  <c r="K571" i="1"/>
  <c r="L433" i="1"/>
  <c r="L419" i="1"/>
  <c r="D81" i="2"/>
  <c r="I169" i="1"/>
  <c r="J643" i="1"/>
  <c r="G338" i="1"/>
  <c r="G352" i="1" s="1"/>
  <c r="J140" i="1"/>
  <c r="G22" i="2"/>
  <c r="K545" i="1"/>
  <c r="H140" i="1"/>
  <c r="L393" i="1"/>
  <c r="C138" i="2" s="1"/>
  <c r="L560" i="1"/>
  <c r="G192" i="1"/>
  <c r="H192" i="1"/>
  <c r="L570" i="1"/>
  <c r="G36" i="2"/>
  <c r="A13" i="12" l="1"/>
  <c r="C114" i="2"/>
  <c r="C122" i="2"/>
  <c r="I257" i="1"/>
  <c r="I271" i="1" s="1"/>
  <c r="C112" i="2"/>
  <c r="D31" i="2"/>
  <c r="L565" i="1"/>
  <c r="L529" i="1"/>
  <c r="I545" i="1"/>
  <c r="H545" i="1"/>
  <c r="G552" i="1"/>
  <c r="K549" i="1"/>
  <c r="L544" i="1"/>
  <c r="L539" i="1"/>
  <c r="L534" i="1"/>
  <c r="K551" i="1"/>
  <c r="K550" i="1"/>
  <c r="J257" i="1"/>
  <c r="J271" i="1" s="1"/>
  <c r="L614" i="1"/>
  <c r="L524" i="1"/>
  <c r="F552" i="1"/>
  <c r="C16" i="10"/>
  <c r="H338" i="1"/>
  <c r="H352" i="1" s="1"/>
  <c r="K598" i="1"/>
  <c r="G647" i="1" s="1"/>
  <c r="A40" i="12"/>
  <c r="C91" i="2"/>
  <c r="C18" i="2"/>
  <c r="C123" i="2"/>
  <c r="J617" i="1"/>
  <c r="G164" i="2"/>
  <c r="G161" i="2"/>
  <c r="K500" i="1"/>
  <c r="G156" i="2"/>
  <c r="C125" i="2"/>
  <c r="G662" i="1"/>
  <c r="E16" i="13"/>
  <c r="C16" i="13" s="1"/>
  <c r="F662" i="1"/>
  <c r="L256" i="1"/>
  <c r="C124" i="2"/>
  <c r="K257" i="1"/>
  <c r="D19" i="13"/>
  <c r="C19" i="13" s="1"/>
  <c r="D7" i="13"/>
  <c r="C7" i="13" s="1"/>
  <c r="C119" i="2"/>
  <c r="D6" i="13"/>
  <c r="C6" i="13" s="1"/>
  <c r="D14" i="13"/>
  <c r="C14" i="13" s="1"/>
  <c r="C19" i="10"/>
  <c r="E13" i="13"/>
  <c r="C13" i="13" s="1"/>
  <c r="C109" i="2"/>
  <c r="G257" i="1"/>
  <c r="G271" i="1" s="1"/>
  <c r="C18" i="10"/>
  <c r="E8" i="13"/>
  <c r="C8" i="13" s="1"/>
  <c r="C20" i="10"/>
  <c r="D12" i="13"/>
  <c r="C12" i="13" s="1"/>
  <c r="C121" i="2"/>
  <c r="L229" i="1"/>
  <c r="C110" i="2"/>
  <c r="F257" i="1"/>
  <c r="F271" i="1" s="1"/>
  <c r="C17" i="10"/>
  <c r="C120" i="2"/>
  <c r="L211" i="1"/>
  <c r="C118" i="2"/>
  <c r="F130" i="2"/>
  <c r="F144" i="2" s="1"/>
  <c r="F145" i="2" s="1"/>
  <c r="L382" i="1"/>
  <c r="I52" i="1"/>
  <c r="H620" i="1" s="1"/>
  <c r="J620" i="1" s="1"/>
  <c r="G645" i="1"/>
  <c r="J645" i="1" s="1"/>
  <c r="J640" i="1"/>
  <c r="I460" i="1"/>
  <c r="I461" i="1" s="1"/>
  <c r="H642" i="1" s="1"/>
  <c r="I446" i="1"/>
  <c r="G642" i="1" s="1"/>
  <c r="H52" i="1"/>
  <c r="H619" i="1" s="1"/>
  <c r="J619" i="1" s="1"/>
  <c r="G624" i="1"/>
  <c r="D50" i="2"/>
  <c r="D51" i="2" s="1"/>
  <c r="D18" i="2"/>
  <c r="C78" i="2"/>
  <c r="C81" i="2" s="1"/>
  <c r="C62" i="2"/>
  <c r="C63" i="2" s="1"/>
  <c r="C35" i="10"/>
  <c r="F112" i="1"/>
  <c r="C36" i="10" s="1"/>
  <c r="J634" i="1"/>
  <c r="J338" i="1"/>
  <c r="J352" i="1" s="1"/>
  <c r="L309" i="1"/>
  <c r="C15" i="10"/>
  <c r="E118" i="2"/>
  <c r="E128" i="2" s="1"/>
  <c r="F661" i="1"/>
  <c r="G661" i="1"/>
  <c r="D29" i="13"/>
  <c r="C29" i="13" s="1"/>
  <c r="L362" i="1"/>
  <c r="H661" i="1"/>
  <c r="D127" i="2"/>
  <c r="D128" i="2" s="1"/>
  <c r="D145" i="2" s="1"/>
  <c r="E109" i="2"/>
  <c r="E115" i="2" s="1"/>
  <c r="C11" i="10"/>
  <c r="L328" i="1"/>
  <c r="C12" i="10"/>
  <c r="F338" i="1"/>
  <c r="F352" i="1" s="1"/>
  <c r="L290" i="1"/>
  <c r="C10" i="10"/>
  <c r="H662" i="1"/>
  <c r="C21" i="10"/>
  <c r="H647" i="1"/>
  <c r="D15" i="13"/>
  <c r="C15" i="13" s="1"/>
  <c r="G651" i="1"/>
  <c r="J651" i="1" s="1"/>
  <c r="H25" i="13"/>
  <c r="C25" i="13" s="1"/>
  <c r="H33" i="13"/>
  <c r="K271" i="1"/>
  <c r="H257" i="1"/>
  <c r="H271" i="1" s="1"/>
  <c r="D5" i="13"/>
  <c r="C5" i="13" s="1"/>
  <c r="C111" i="2"/>
  <c r="L247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H193" i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G50" i="2"/>
  <c r="G51" i="2" s="1"/>
  <c r="H648" i="1"/>
  <c r="J648" i="1" s="1"/>
  <c r="J652" i="1"/>
  <c r="J642" i="1"/>
  <c r="G571" i="1"/>
  <c r="I434" i="1"/>
  <c r="G434" i="1"/>
  <c r="I663" i="1"/>
  <c r="G636" i="1" l="1"/>
  <c r="I472" i="1"/>
  <c r="L545" i="1"/>
  <c r="K552" i="1"/>
  <c r="J647" i="1"/>
  <c r="C27" i="10"/>
  <c r="C28" i="10" s="1"/>
  <c r="D22" i="10" s="1"/>
  <c r="G472" i="1"/>
  <c r="I662" i="1"/>
  <c r="H646" i="1"/>
  <c r="E33" i="13"/>
  <c r="D35" i="13" s="1"/>
  <c r="L257" i="1"/>
  <c r="L271" i="1" s="1"/>
  <c r="G632" i="1" s="1"/>
  <c r="C128" i="2"/>
  <c r="G660" i="1"/>
  <c r="G664" i="1" s="1"/>
  <c r="G667" i="1" s="1"/>
  <c r="C115" i="2"/>
  <c r="F660" i="1"/>
  <c r="F664" i="1" s="1"/>
  <c r="F672" i="1" s="1"/>
  <c r="C4" i="10" s="1"/>
  <c r="F51" i="2"/>
  <c r="G104" i="2"/>
  <c r="G646" i="1"/>
  <c r="J468" i="1"/>
  <c r="G629" i="1"/>
  <c r="H468" i="1"/>
  <c r="C104" i="2"/>
  <c r="I193" i="1"/>
  <c r="F193" i="1"/>
  <c r="E145" i="2"/>
  <c r="I661" i="1"/>
  <c r="G635" i="1"/>
  <c r="D31" i="13"/>
  <c r="C31" i="13" s="1"/>
  <c r="L338" i="1"/>
  <c r="L352" i="1" s="1"/>
  <c r="H660" i="1"/>
  <c r="H664" i="1" s="1"/>
  <c r="H667" i="1" s="1"/>
  <c r="C51" i="2"/>
  <c r="G631" i="1"/>
  <c r="G193" i="1"/>
  <c r="G626" i="1"/>
  <c r="J52" i="1"/>
  <c r="H621" i="1" s="1"/>
  <c r="J621" i="1" s="1"/>
  <c r="C38" i="10"/>
  <c r="I474" i="1" l="1"/>
  <c r="H636" i="1"/>
  <c r="J636" i="1" s="1"/>
  <c r="H635" i="1"/>
  <c r="J635" i="1" s="1"/>
  <c r="G474" i="1"/>
  <c r="G630" i="1"/>
  <c r="I468" i="1"/>
  <c r="J646" i="1"/>
  <c r="C145" i="2"/>
  <c r="F472" i="1"/>
  <c r="F474" i="1" s="1"/>
  <c r="G627" i="1"/>
  <c r="F468" i="1"/>
  <c r="H631" i="1"/>
  <c r="J631" i="1" s="1"/>
  <c r="J470" i="1"/>
  <c r="J476" i="1" s="1"/>
  <c r="H626" i="1" s="1"/>
  <c r="J626" i="1" s="1"/>
  <c r="H637" i="1"/>
  <c r="J637" i="1" s="1"/>
  <c r="J629" i="1"/>
  <c r="H629" i="1"/>
  <c r="H470" i="1"/>
  <c r="G633" i="1"/>
  <c r="H472" i="1"/>
  <c r="G628" i="1"/>
  <c r="G468" i="1"/>
  <c r="F667" i="1"/>
  <c r="G672" i="1"/>
  <c r="C5" i="10" s="1"/>
  <c r="I660" i="1"/>
  <c r="I664" i="1" s="1"/>
  <c r="I672" i="1" s="1"/>
  <c r="C7" i="10" s="1"/>
  <c r="D33" i="13"/>
  <c r="D36" i="13" s="1"/>
  <c r="D24" i="10"/>
  <c r="D27" i="10"/>
  <c r="D10" i="10"/>
  <c r="H672" i="1"/>
  <c r="C6" i="10" s="1"/>
  <c r="D12" i="10"/>
  <c r="D18" i="10"/>
  <c r="D17" i="10"/>
  <c r="D26" i="10"/>
  <c r="C30" i="10"/>
  <c r="D16" i="10"/>
  <c r="D23" i="10"/>
  <c r="D20" i="10"/>
  <c r="D15" i="10"/>
  <c r="D25" i="10"/>
  <c r="D19" i="10"/>
  <c r="D13" i="10"/>
  <c r="D11" i="10"/>
  <c r="D21" i="10"/>
  <c r="C41" i="10"/>
  <c r="D38" i="10" s="1"/>
  <c r="I470" i="1" l="1"/>
  <c r="I476" i="1" s="1"/>
  <c r="H625" i="1" s="1"/>
  <c r="J625" i="1" s="1"/>
  <c r="H630" i="1"/>
  <c r="J630" i="1" s="1"/>
  <c r="H632" i="1"/>
  <c r="J632" i="1" s="1"/>
  <c r="H627" i="1"/>
  <c r="J627" i="1" s="1"/>
  <c r="F470" i="1"/>
  <c r="F476" i="1" s="1"/>
  <c r="H622" i="1" s="1"/>
  <c r="J622" i="1" s="1"/>
  <c r="H474" i="1"/>
  <c r="H476" i="1" s="1"/>
  <c r="H624" i="1" s="1"/>
  <c r="J624" i="1" s="1"/>
  <c r="H633" i="1"/>
  <c r="J633" i="1" s="1"/>
  <c r="G470" i="1"/>
  <c r="G476" i="1" s="1"/>
  <c r="H623" i="1" s="1"/>
  <c r="H628" i="1"/>
  <c r="J628" i="1" s="1"/>
  <c r="I667" i="1"/>
  <c r="D28" i="10"/>
  <c r="D37" i="10"/>
  <c r="D36" i="10"/>
  <c r="D35" i="10"/>
  <c r="D40" i="10"/>
  <c r="D39" i="10"/>
  <c r="J623" i="1" l="1"/>
  <c r="H656" i="1"/>
  <c r="D41" i="10"/>
  <c r="C31" i="12"/>
  <c r="A31" i="12" s="1"/>
  <c r="C22" i="12"/>
  <c r="A22" i="12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<sst xmlns="http://schemas.openxmlformats.org/spreadsheetml/2006/main" count="3964" uniqueCount="921">
  <si>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</si>
  <si>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</si>
  <si>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</si>
  <si>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</si>
  <si>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</si>
  <si>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</si>
  <si>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</si>
  <si>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</si>
  <si>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</si>
  <si>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</si>
  <si>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</si>
  <si>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</si>
  <si>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</si>
  <si>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</si>
  <si>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</si>
  <si>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</si>
  <si>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</si>
  <si>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</si>
  <si>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</si>
  <si>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</si>
  <si>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</si>
  <si>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</si>
  <si>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</si>
  <si>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</si>
  <si>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</si>
  <si>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</si>
  <si>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</si>
  <si>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</si>
  <si>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</si>
  <si>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</si>
  <si>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</si>
  <si>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</si>
  <si>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</si>
  <si>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</si>
  <si>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</si>
  <si>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</si>
  <si>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</si>
  <si>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</si>
  <si>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</si>
  <si>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</si>
  <si>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</si>
  <si>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</si>
  <si>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</si>
  <si>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</si>
  <si>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</si>
  <si>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</si>
  <si>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</si>
  <si>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</si>
  <si>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</si>
  <si>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</si>
  <si>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</si>
  <si>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</si>
  <si>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</si>
  <si>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</si>
  <si>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</si>
  <si>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</si>
  <si>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</si>
  <si>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</si>
  <si>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</si>
  <si>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</si>
  <si>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</si>
  <si>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</si>
  <si>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</si>
  <si>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</si>
  <si>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</si>
  <si>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</si>
  <si>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</si>
  <si>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</si>
  <si>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</si>
  <si>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</si>
  <si>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</si>
  <si>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</si>
  <si>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</si>
  <si>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</si>
  <si>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</si>
  <si>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</si>
  <si>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</si>
  <si>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</si>
  <si>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</si>
  <si>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</si>
  <si>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</si>
  <si>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</si>
  <si>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</si>
  <si>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</si>
  <si>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</si>
  <si>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</si>
  <si>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</si>
  <si>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</si>
  <si>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</si>
  <si>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</si>
  <si>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</si>
  <si>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</si>
  <si>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</si>
  <si>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</si>
  <si>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</si>
  <si>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</si>
  <si>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</si>
  <si>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</si>
  <si>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</si>
  <si>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</si>
  <si>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</si>
  <si>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</si>
  <si>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</si>
  <si>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</si>
  <si>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</si>
  <si>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</si>
  <si>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</si>
  <si>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</si>
  <si>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</si>
  <si>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</si>
  <si>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</si>
  <si>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</si>
  <si>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</si>
  <si>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</si>
  <si>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</si>
  <si>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</si>
  <si>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</si>
  <si>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</si>
  <si>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</si>
  <si>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</si>
  <si>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</si>
  <si>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</si>
  <si>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</si>
  <si>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</si>
  <si>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</si>
  <si>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</si>
  <si>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</si>
  <si>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</si>
  <si>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</si>
  <si>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</si>
  <si>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</si>
  <si>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</si>
  <si>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</si>
  <si>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</si>
  <si>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</si>
  <si>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</si>
  <si>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</si>
  <si>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</si>
  <si>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</si>
  <si>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</si>
  <si>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</si>
  <si>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</si>
  <si>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</si>
  <si>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</si>
  <si>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</si>
  <si>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</si>
  <si>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</si>
  <si>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</si>
  <si>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</si>
  <si>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</si>
  <si>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</si>
  <si>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</si>
  <si>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</si>
  <si>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</si>
  <si>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</si>
  <si>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</si>
  <si>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</si>
  <si>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</si>
  <si>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</si>
  <si>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</si>
  <si>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</si>
  <si>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</si>
  <si>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</si>
  <si>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</si>
  <si>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</si>
  <si>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</si>
  <si>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</si>
  <si>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</si>
  <si>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</si>
  <si>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</si>
  <si>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</si>
  <si>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</si>
  <si>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</si>
  <si>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</si>
  <si>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</si>
  <si>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</si>
  <si>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</si>
  <si>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</si>
  <si>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</si>
  <si>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</si>
  <si>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</si>
  <si>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</si>
  <si>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</si>
  <si>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</si>
  <si>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</si>
  <si>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</si>
  <si>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</si>
  <si>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</si>
  <si>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</si>
  <si>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</si>
  <si>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</si>
  <si>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</si>
  <si>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</si>
  <si>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</si>
  <si>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</si>
  <si>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</si>
  <si>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</si>
  <si>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</si>
  <si>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</si>
  <si>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</si>
  <si>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</si>
  <si>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</si>
  <si>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</si>
  <si>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</si>
  <si>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</si>
  <si>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</si>
  <si>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</si>
  <si>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</si>
  <si>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</si>
  <si>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</si>
  <si>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</si>
  <si>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</si>
  <si>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</si>
  <si>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</si>
  <si>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</si>
  <si>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</si>
  <si>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</si>
  <si>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</si>
  <si>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</si>
  <si>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</si>
  <si>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</si>
  <si>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</si>
  <si>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</si>
  <si>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</si>
  <si>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</si>
  <si>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</si>
  <si>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</si>
  <si>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</si>
  <si>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</si>
  <si>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</si>
  <si>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</si>
  <si>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</si>
  <si>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</si>
  <si>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</si>
  <si>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</si>
  <si>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</si>
  <si>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</si>
  <si>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</si>
  <si>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</si>
  <si>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</si>
  <si>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</si>
  <si>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</si>
  <si>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</si>
  <si>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</si>
  <si>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</si>
  <si>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</si>
  <si>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</si>
  <si>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</si>
  <si>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</si>
  <si>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</si>
  <si>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</si>
  <si>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</si>
  <si>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</si>
  <si>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</si>
  <si>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</si>
  <si>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</si>
  <si>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</si>
  <si>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</si>
  <si>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</si>
  <si>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</si>
  <si>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</si>
  <si>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</si>
  <si>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</si>
  <si>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</si>
  <si>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</si>
  <si>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</si>
  <si>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</si>
  <si>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</si>
  <si>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</si>
  <si>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</si>
  <si>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</si>
  <si>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</si>
  <si>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</si>
  <si>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</si>
  <si>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</si>
  <si>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</si>
  <si>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</si>
  <si>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</si>
  <si>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</si>
  <si>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</si>
  <si>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</si>
  <si>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</si>
  <si>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</si>
  <si>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</si>
  <si>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</si>
  <si>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</si>
  <si>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</si>
  <si>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</si>
  <si>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</si>
  <si>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</si>
  <si>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</si>
  <si>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</si>
  <si>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</si>
  <si>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</si>
  <si>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</si>
  <si>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</si>
  <si>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</si>
  <si>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</si>
  <si>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</si>
  <si>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</si>
  <si>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</si>
  <si>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</si>
  <si>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</si>
  <si>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</si>
  <si>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</si>
  <si>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</si>
  <si>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</si>
  <si>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</si>
  <si>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</si>
  <si>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</si>
  <si>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</si>
  <si>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</si>
  <si>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</si>
  <si>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</si>
  <si>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</si>
  <si>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</si>
  <si>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</si>
  <si>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</si>
  <si>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</si>
  <si>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</si>
  <si>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</si>
  <si>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</si>
  <si>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</si>
  <si>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</si>
  <si>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</si>
  <si>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</si>
  <si>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</si>
  <si>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</si>
  <si>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</si>
  <si>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</si>
  <si>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</si>
  <si>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</si>
  <si>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</si>
  <si>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</si>
  <si>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</si>
  <si>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</si>
  <si>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</si>
  <si>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</si>
  <si>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</si>
  <si>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</si>
  <si>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</si>
  <si>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</si>
  <si>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</si>
  <si>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</si>
  <si>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</si>
  <si>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</si>
  <si>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</si>
  <si>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</si>
  <si>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</si>
  <si>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</si>
  <si>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</si>
  <si>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</si>
  <si>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</si>
  <si>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</si>
  <si>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</si>
  <si>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</si>
  <si>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</si>
  <si>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</si>
  <si>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</si>
  <si>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</si>
  <si>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</si>
  <si>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</si>
  <si>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</si>
  <si>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</si>
  <si>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</si>
  <si>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</si>
  <si>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</si>
  <si>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</si>
  <si>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</si>
  <si>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</si>
  <si>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</si>
  <si>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</si>
  <si>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</si>
  <si>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</si>
  <si>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</si>
  <si>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</si>
  <si>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</si>
  <si>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</si>
  <si>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</si>
  <si>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</si>
  <si>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</si>
  <si>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</si>
  <si>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</si>
  <si>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</si>
  <si>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</si>
  <si>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</si>
  <si>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</si>
  <si>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</si>
  <si>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</si>
  <si>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</si>
  <si>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</si>
  <si>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</si>
  <si>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</si>
  <si>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</si>
  <si>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</si>
  <si>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</si>
  <si>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</si>
  <si>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</si>
  <si>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</si>
  <si>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</si>
  <si>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</si>
  <si>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</si>
  <si>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</si>
  <si>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</si>
  <si>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</si>
  <si>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</si>
  <si>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</si>
  <si>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</si>
  <si>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</si>
  <si>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</si>
  <si>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</si>
  <si>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</si>
  <si>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</si>
  <si>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</si>
  <si>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</si>
  <si>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</si>
  <si>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</si>
  <si>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</si>
  <si>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</si>
  <si>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</si>
  <si>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</si>
  <si>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</si>
  <si>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</si>
  <si>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</si>
  <si>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</si>
  <si>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</si>
  <si>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</si>
  <si>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</si>
  <si>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</si>
  <si>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</si>
  <si>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</si>
  <si>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</si>
  <si>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</si>
  <si>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</si>
  <si>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</si>
  <si>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</si>
  <si>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</si>
  <si>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</si>
  <si>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</si>
  <si>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</si>
  <si>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</si>
  <si>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</si>
  <si>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</si>
  <si>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</si>
  <si>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</si>
  <si>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</si>
  <si>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</si>
  <si>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</si>
  <si>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</si>
  <si>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</si>
  <si>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</si>
  <si>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</si>
  <si>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</si>
  <si>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</si>
  <si>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</si>
  <si>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</si>
  <si>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</si>
  <si>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</si>
  <si>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</si>
  <si>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</si>
  <si>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</si>
  <si>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</si>
  <si>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</si>
  <si>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</si>
  <si>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</si>
  <si>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</si>
  <si>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</si>
  <si>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</si>
  <si>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</si>
  <si>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</si>
  <si>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</si>
  <si>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</si>
  <si>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</si>
  <si>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</si>
  <si>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</si>
  <si>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</si>
  <si>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</si>
  <si>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</si>
  <si>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</si>
  <si>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</si>
  <si>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</si>
  <si>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</si>
  <si>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</si>
  <si>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</si>
  <si>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</si>
  <si>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</si>
  <si>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</si>
  <si>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</si>
  <si>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</si>
  <si>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</si>
  <si>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</si>
  <si>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</si>
  <si>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</si>
  <si>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</si>
  <si>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</si>
  <si>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</si>
  <si>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</si>
  <si>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</si>
  <si>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</si>
  <si>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</si>
  <si>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</si>
  <si>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</si>
  <si>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</si>
  <si>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</si>
  <si>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</si>
  <si>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</si>
  <si>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</si>
  <si>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</si>
  <si>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</si>
  <si>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</si>
  <si>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</si>
  <si>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</si>
  <si>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</si>
  <si>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</si>
  <si>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</si>
  <si>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</si>
  <si>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</si>
  <si>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</si>
  <si>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</si>
  <si>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</si>
  <si>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</si>
  <si>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</si>
  <si>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</si>
  <si>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</si>
  <si>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</si>
  <si>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</si>
  <si>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</si>
  <si>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</si>
  <si>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</si>
  <si>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</si>
  <si>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</si>
  <si>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</si>
  <si>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</si>
  <si>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</si>
  <si>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</si>
  <si>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</si>
  <si>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</si>
  <si>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</si>
  <si>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</si>
  <si>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</si>
  <si>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</si>
  <si>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</si>
  <si>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</si>
  <si>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</si>
  <si>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</si>
  <si>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</si>
  <si>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</si>
  <si>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</si>
  <si>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</si>
  <si>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</si>
  <si>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</si>
  <si>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</si>
  <si>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</si>
  <si>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</si>
  <si>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</si>
  <si>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</si>
  <si>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</si>
  <si>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</si>
  <si>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</si>
  <si>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</si>
  <si>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</si>
  <si>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</si>
  <si>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</si>
  <si>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</si>
  <si>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</si>
  <si>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</si>
  <si>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</si>
  <si>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</si>
  <si>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</si>
  <si>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</si>
  <si>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</si>
  <si>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</si>
  <si>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</si>
  <si>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</si>
  <si>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</si>
  <si>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</si>
  <si>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</si>
  <si>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</si>
  <si>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</si>
  <si>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</si>
  <si>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</si>
  <si>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</si>
  <si>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</si>
  <si>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</si>
  <si>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</si>
  <si>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</si>
  <si>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</si>
  <si>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</si>
  <si>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</si>
  <si>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</si>
  <si>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</si>
  <si>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</si>
  <si>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</si>
  <si>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</si>
  <si>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</si>
  <si>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</si>
  <si>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</si>
  <si>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</si>
  <si>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</si>
  <si>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</si>
  <si>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</si>
  <si>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</si>
  <si>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</si>
  <si>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</si>
  <si>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</si>
  <si>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</si>
  <si>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</si>
  <si>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</si>
  <si>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</si>
  <si>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</si>
  <si>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</si>
  <si>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</si>
  <si>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</si>
  <si>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</si>
  <si>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</si>
  <si>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</si>
  <si>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</si>
  <si>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</si>
  <si>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</si>
  <si>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</si>
  <si>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</si>
  <si>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</si>
  <si>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</si>
  <si>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</si>
  <si>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</si>
  <si>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</si>
  <si>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</si>
  <si>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</si>
  <si>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</si>
  <si>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</si>
  <si>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</si>
  <si>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</si>
  <si>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</si>
  <si>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</si>
  <si>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</si>
  <si>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</si>
  <si>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</si>
  <si>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</si>
  <si>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</si>
  <si>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</si>
  <si>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</si>
  <si>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</si>
  <si>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</si>
  <si>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</si>
  <si>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</si>
  <si>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</si>
  <si>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</si>
  <si>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</si>
  <si>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</si>
  <si>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</si>
  <si>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</si>
  <si>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</si>
  <si>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</si>
  <si>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</si>
  <si>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</si>
  <si>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</si>
  <si>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</si>
  <si>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</si>
  <si>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</si>
  <si>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</si>
  <si>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</si>
  <si>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</si>
  <si>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</si>
  <si>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</si>
  <si>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</si>
  <si>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</si>
  <si>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</si>
  <si>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</si>
  <si>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</si>
  <si>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</si>
  <si>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</si>
  <si>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</si>
  <si>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</si>
  <si>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</si>
  <si>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</si>
  <si>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</si>
  <si>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</si>
  <si>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</si>
  <si>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</si>
  <si>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</si>
  <si>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</si>
  <si>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</si>
  <si>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</si>
  <si>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</si>
  <si>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</si>
  <si>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</si>
  <si>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</si>
  <si>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</si>
  <si>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</si>
  <si>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</si>
  <si>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</si>
  <si>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</si>
  <si>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</si>
  <si>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</si>
  <si>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</si>
  <si>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</si>
  <si>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</si>
  <si>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</si>
  <si>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</si>
  <si>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</si>
  <si>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</si>
  <si>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</si>
  <si>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</si>
  <si>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</si>
  <si>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</si>
  <si>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</si>
  <si>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</si>
  <si>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</si>
  <si>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</si>
  <si>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</si>
  <si>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</si>
  <si>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</si>
  <si>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</si>
  <si>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</si>
  <si>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</si>
  <si>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</si>
  <si>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</si>
  <si>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</si>
  <si>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</si>
  <si>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</si>
  <si>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</si>
  <si>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</si>
  <si>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</si>
  <si>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</si>
  <si>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</si>
  <si>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</si>
  <si>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</si>
  <si>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</si>
  <si>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</si>
  <si>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</si>
  <si>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</si>
  <si>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</si>
  <si>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</si>
  <si>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</si>
  <si>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</si>
  <si>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</si>
  <si>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</si>
  <si>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</si>
  <si>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</si>
  <si>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</si>
  <si>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</si>
  <si>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</si>
  <si>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</si>
  <si>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</si>
  <si>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</si>
  <si>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</si>
  <si>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</si>
  <si>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</si>
  <si>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</si>
  <si>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</si>
  <si>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</si>
  <si>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</si>
  <si>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</si>
  <si>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</si>
  <si>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</si>
  <si>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</si>
  <si>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</si>
  <si>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</si>
  <si>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</si>
  <si>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</si>
  <si>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</si>
  <si>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</si>
  <si>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</si>
  <si>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</si>
  <si>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</si>
  <si>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</si>
  <si>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</si>
  <si>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</si>
  <si>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</si>
  <si>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</si>
  <si>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</si>
  <si>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</si>
  <si>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</si>
  <si>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</si>
  <si>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</si>
  <si>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</si>
  <si>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</si>
  <si>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</si>
  <si>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</si>
  <si>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</si>
  <si>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</si>
  <si>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</si>
  <si>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</si>
  <si>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</si>
  <si>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</si>
  <si>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</si>
  <si>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</si>
  <si>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</si>
  <si>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</si>
  <si>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</si>
  <si>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</si>
  <si>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</si>
  <si>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</si>
  <si>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</si>
  <si>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</si>
  <si>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</si>
  <si>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</si>
  <si>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</si>
  <si>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</si>
  <si>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</si>
  <si>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</si>
  <si>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</si>
  <si>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</si>
  <si>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</si>
  <si>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</si>
  <si>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</si>
  <si>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</si>
  <si>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</si>
  <si>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</si>
  <si>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</si>
  <si>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</si>
  <si>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</si>
  <si>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</si>
  <si>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</si>
  <si>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</si>
  <si>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</si>
  <si>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</si>
  <si>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</si>
  <si>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</si>
  <si>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</si>
  <si>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</si>
  <si>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</si>
  <si>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</si>
  <si>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</si>
  <si>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</si>
  <si>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</si>
  <si>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</si>
  <si>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</si>
  <si>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</si>
  <si>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</si>
  <si>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</si>
  <si>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</si>
  <si>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</si>
  <si>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</si>
  <si>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</si>
  <si>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</si>
  <si>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</si>
  <si>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</si>
  <si>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</si>
  <si>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</si>
  <si>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</si>
  <si>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</si>
  <si>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</si>
  <si>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</si>
  <si>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</si>
  <si>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</si>
  <si>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</si>
  <si>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</si>
  <si>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</si>
  <si>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</si>
  <si>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</si>
  <si>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</si>
  <si>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</si>
  <si>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</si>
  <si>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</si>
  <si>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</si>
  <si>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</si>
  <si>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</si>
  <si>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</si>
  <si>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</si>
  <si>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</si>
  <si>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</si>
  <si>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</si>
  <si>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</si>
  <si>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</si>
  <si>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</si>
  <si>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</si>
  <si>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</si>
  <si>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</si>
  <si>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</si>
  <si>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</si>
  <si>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</si>
  <si>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</si>
  <si>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</si>
  <si>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</si>
  <si>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</si>
  <si>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</si>
  <si>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</si>
  <si>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</si>
  <si>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</si>
  <si>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</si>
  <si>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</si>
  <si>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</si>
  <si>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</si>
  <si>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</si>
  <si>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</si>
  <si>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</si>
  <si>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</si>
  <si>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</si>
  <si>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</si>
  <si>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</si>
  <si>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</si>
  <si>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</si>
  <si>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</si>
  <si>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</si>
  <si>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</si>
  <si>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</si>
  <si>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</si>
  <si>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</si>
  <si>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</si>
  <si>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</si>
  <si>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</si>
  <si>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</si>
  <si>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</si>
  <si>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</si>
  <si>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</si>
  <si>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</si>
  <si>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</si>
  <si>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</si>
  <si>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</si>
  <si>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</si>
  <si>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7/95</t>
  </si>
  <si>
    <t>6/10</t>
  </si>
  <si>
    <t>8/15</t>
  </si>
  <si>
    <t>9/26</t>
  </si>
  <si>
    <t>10/26</t>
  </si>
  <si>
    <t>QSCB</t>
  </si>
  <si>
    <t>7/13</t>
  </si>
  <si>
    <t>8/33</t>
  </si>
  <si>
    <t>$835,524.71 district retained portion of LGC distribution reported in local revenue, 1990</t>
  </si>
  <si>
    <t>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</si>
</sst>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2" fillId="0" borderId="0" xfId="0" quotePrefix="1" applyNumberFormat="1" applyFont="1" applyAlignment="1" applyProtection="1">
      <alignment horizontal="center"/>
      <protection locked="0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920</v>
      </c>
      <c r="B2" s="21">
        <v>473</v>
      </c>
      <c r="C2" s="21">
        <v>473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1900105.54</v>
      </c>
      <c r="G9" s="18">
        <v>519693.99</v>
      </c>
      <c r="H9" s="18"/>
      <c r="I9" s="18">
        <v>6123398.2599999998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134044.47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649113.03-318902.71</f>
        <v>330210.32</v>
      </c>
      <c r="G12" s="18"/>
      <c r="H12" s="18">
        <v>140123.62</v>
      </c>
      <c r="I12" s="18"/>
      <c r="J12" s="67">
        <f>SUM(I441)</f>
        <v>14335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85480.320000000007</v>
      </c>
      <c r="G13" s="18">
        <f>13113.37+16465.55</f>
        <v>29578.92</v>
      </c>
      <c r="H13" s="18">
        <f>208841.99+36.95</f>
        <v>208878.94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6913.6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2322709.7799999998</v>
      </c>
      <c r="G19" s="41">
        <f>SUM(G9:G18)</f>
        <v>549272.91</v>
      </c>
      <c r="H19" s="41">
        <f>SUM(H9:H18)</f>
        <v>349002.56</v>
      </c>
      <c r="I19" s="41">
        <f>SUM(I9:I18)</f>
        <v>6123398.2599999998</v>
      </c>
      <c r="J19" s="41">
        <f>SUM(J9:J18)</f>
        <v>148379.47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306330.21000000002</v>
      </c>
      <c r="H22" s="18">
        <v>164003.73000000001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174277.98</v>
      </c>
      <c r="G24" s="18">
        <f>800+3523.66+2518.77</f>
        <v>6842.43</v>
      </c>
      <c r="H24" s="18">
        <v>458.7</v>
      </c>
      <c r="I24" s="18">
        <f>188593.2+666205.17</f>
        <v>854798.37000000011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125621.2+5480.11</f>
        <v>131101.31</v>
      </c>
      <c r="G29" s="18">
        <v>2006.86</v>
      </c>
      <c r="H29" s="18">
        <v>11698.26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305379.29000000004</v>
      </c>
      <c r="G32" s="41">
        <f>SUM(G22:G31)</f>
        <v>315179.5</v>
      </c>
      <c r="H32" s="41">
        <f>SUM(H22:H31)</f>
        <v>176160.69000000003</v>
      </c>
      <c r="I32" s="41">
        <f>SUM(I22:I31)</f>
        <v>854798.37000000011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f>93640.6+16303.33+45000</f>
        <v>154943.93</v>
      </c>
      <c r="G48" s="18">
        <f>236612.18-2518.77</f>
        <v>234093.41</v>
      </c>
      <c r="H48" s="18">
        <f>140123.62+32718.25</f>
        <v>172841.87</v>
      </c>
      <c r="I48" s="18">
        <f>6123398.26-329780.62-854798.37</f>
        <v>4938819.2699999996</v>
      </c>
      <c r="J48" s="13">
        <f>SUM(I459)</f>
        <v>148379.47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479507.17+19463.35</f>
        <v>498970.51999999996</v>
      </c>
      <c r="G49" s="18"/>
      <c r="H49" s="18"/>
      <c r="I49" s="18">
        <v>329780.62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2322709.78-914293.74-45000</f>
        <v>1363416.0399999998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2017330.4899999998</v>
      </c>
      <c r="G51" s="41">
        <f>SUM(G35:G50)</f>
        <v>234093.41</v>
      </c>
      <c r="H51" s="41">
        <f>SUM(H35:H50)</f>
        <v>172841.87</v>
      </c>
      <c r="I51" s="41">
        <f>SUM(I35:I50)</f>
        <v>5268599.8899999997</v>
      </c>
      <c r="J51" s="41">
        <f>SUM(J35:J50)</f>
        <v>148379.47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2322709.7799999998</v>
      </c>
      <c r="G52" s="41">
        <f>G51+G32</f>
        <v>549272.91</v>
      </c>
      <c r="H52" s="41">
        <f>H51+H32</f>
        <v>349002.56000000006</v>
      </c>
      <c r="I52" s="41">
        <f>I51+I32</f>
        <v>6123398.2599999998</v>
      </c>
      <c r="J52" s="41">
        <f>J51+J32</f>
        <v>148379.47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47690203-9188952</f>
        <v>38501251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38501251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218285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35800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44835.59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65000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39742.43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18927.75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81367.53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f>650+41000</f>
        <v>41650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545608.29999999993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>
        <v>2272.56</v>
      </c>
      <c r="J96" s="18">
        <v>13.37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1109764.42-2265.4</f>
        <v>1107499.02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9207.75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21791.26</v>
      </c>
      <c r="I102" s="18"/>
      <c r="J102" s="18">
        <v>14335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2421.01+2002+28556.77+835524.71+123077</f>
        <v>991581.49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1000789.24</v>
      </c>
      <c r="G111" s="41">
        <f>SUM(G96:G110)</f>
        <v>1107499.02</v>
      </c>
      <c r="H111" s="41">
        <f>SUM(H96:H110)</f>
        <v>21791.26</v>
      </c>
      <c r="I111" s="41">
        <f>SUM(I96:I110)</f>
        <v>2272.56</v>
      </c>
      <c r="J111" s="41">
        <f>SUM(J96:J110)</f>
        <v>14348.37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40047648.539999999</v>
      </c>
      <c r="G112" s="41">
        <f>G60+G111</f>
        <v>1107499.02</v>
      </c>
      <c r="H112" s="41">
        <f>H60+H79+H94+H111</f>
        <v>21791.26</v>
      </c>
      <c r="I112" s="41">
        <f>I60+I111</f>
        <v>2272.56</v>
      </c>
      <c r="J112" s="41">
        <f>J60+J111</f>
        <v>14348.37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5742709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9188952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14931661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521714.1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991806.37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f>268960.85-2330</f>
        <v>266630.84999999998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2330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16465.55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1782481.3199999998</v>
      </c>
      <c r="G136" s="41">
        <f>SUM(G123:G135)</f>
        <v>16465.55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2320</v>
      </c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16716462.32</v>
      </c>
      <c r="G140" s="41">
        <f>G121+SUM(G136:G137)</f>
        <v>16465.55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58822.52</v>
      </c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438854.35+52203.04</f>
        <v>491057.38999999996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57080.8+136177.5+2394+2325</f>
        <v>197977.3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17994.89+121026.68</f>
        <v>139021.57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114331.81+43565.56+2140.67</f>
        <v>160038.04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414394.95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756699.59+10004.03+7924.48+1807.74+674.05</f>
        <v>777109.89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564337.75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623160.27</v>
      </c>
      <c r="G162" s="41">
        <f>SUM(G150:G161)</f>
        <v>414394.95</v>
      </c>
      <c r="H162" s="41">
        <f>SUM(H150:H161)</f>
        <v>1765204.19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623160.27</v>
      </c>
      <c r="G169" s="41">
        <f>G147+G162+SUM(G163:G168)</f>
        <v>414394.95</v>
      </c>
      <c r="H169" s="41">
        <f>H147+H162+SUM(H163:H168)</f>
        <v>1765204.19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16205153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16205153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16303.33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16303.33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16303.33</v>
      </c>
      <c r="G192" s="41">
        <f>G183+SUM(G188:G191)</f>
        <v>0</v>
      </c>
      <c r="H192" s="41">
        <f>+H183+SUM(H188:H191)</f>
        <v>0</v>
      </c>
      <c r="I192" s="41">
        <f>I177+I183+SUM(I188:I191)</f>
        <v>16205153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57403574.460000001</v>
      </c>
      <c r="G193" s="47">
        <f>G112+G140+G169+G192</f>
        <v>1538359.52</v>
      </c>
      <c r="H193" s="47">
        <f>H112+H140+H169+H192</f>
        <v>1786995.45</v>
      </c>
      <c r="I193" s="47">
        <f>I112+I140+I169+I192</f>
        <v>16207425.560000001</v>
      </c>
      <c r="J193" s="47">
        <f>J112+J140+J192</f>
        <v>14348.37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6515981.02+195115.2</f>
        <v>6711096.2199999997</v>
      </c>
      <c r="G197" s="18">
        <f>161804.34+2790226.71</f>
        <v>2952031.05</v>
      </c>
      <c r="H197" s="18">
        <v>3521.18</v>
      </c>
      <c r="I197" s="18">
        <v>250787.27</v>
      </c>
      <c r="J197" s="18">
        <v>36311.51</v>
      </c>
      <c r="K197" s="18">
        <v>142.19999999999999</v>
      </c>
      <c r="L197" s="19">
        <f>SUM(F197:K197)</f>
        <v>9953889.4299999978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2229047.91+269821.92</f>
        <v>2498869.83</v>
      </c>
      <c r="G198" s="18">
        <f>579198.53+166433.36</f>
        <v>745631.89</v>
      </c>
      <c r="H198" s="18">
        <f>488961.41+120400.49</f>
        <v>609361.9</v>
      </c>
      <c r="I198" s="18">
        <f>11755.32+2155.47</f>
        <v>13910.789999999999</v>
      </c>
      <c r="J198" s="18">
        <v>4068.05</v>
      </c>
      <c r="K198" s="18">
        <f>994*0.408</f>
        <v>405.55199999999996</v>
      </c>
      <c r="L198" s="19">
        <f>SUM(F198:K198)</f>
        <v>3872248.0120000001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15002.16</v>
      </c>
      <c r="G200" s="18">
        <v>3637.83</v>
      </c>
      <c r="H200" s="18"/>
      <c r="I200" s="18">
        <v>1152.44</v>
      </c>
      <c r="J200" s="18"/>
      <c r="K200" s="18"/>
      <c r="L200" s="19">
        <f>SUM(F200:K200)</f>
        <v>19792.429999999997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67460.56+1347872.44</f>
        <v>1415333</v>
      </c>
      <c r="G202" s="18">
        <f>649944.54+36377.18</f>
        <v>686321.72000000009</v>
      </c>
      <c r="H202" s="18">
        <f>141167.62+109823.75</f>
        <v>250991.37</v>
      </c>
      <c r="I202" s="18">
        <f>3127.41+16187.73</f>
        <v>19315.14</v>
      </c>
      <c r="J202" s="18"/>
      <c r="K202" s="18"/>
      <c r="L202" s="19">
        <f t="shared" ref="L202:L208" si="0">SUM(F202:K202)</f>
        <v>2371961.2300000004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194206.72+205958.07</f>
        <v>400164.79000000004</v>
      </c>
      <c r="G203" s="18">
        <f>74965.97+63485.53</f>
        <v>138451.5</v>
      </c>
      <c r="H203" s="18">
        <v>37408.639999999999</v>
      </c>
      <c r="I203" s="18">
        <f>48751.28+46054.17</f>
        <v>94805.45</v>
      </c>
      <c r="J203" s="18">
        <f>160523.32-1029*0.408</f>
        <v>160103.48800000001</v>
      </c>
      <c r="K203" s="18">
        <v>139</v>
      </c>
      <c r="L203" s="19">
        <f t="shared" si="0"/>
        <v>831072.86800000002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210240.47</v>
      </c>
      <c r="G204" s="18">
        <v>107047.19</v>
      </c>
      <c r="H204" s="18">
        <v>32512.26</v>
      </c>
      <c r="I204" s="18">
        <v>5941.54</v>
      </c>
      <c r="J204" s="18"/>
      <c r="K204" s="18">
        <f>11033.07*0.408</f>
        <v>4501.4925599999997</v>
      </c>
      <c r="L204" s="19">
        <f t="shared" si="0"/>
        <v>360242.95256000001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716611.31</v>
      </c>
      <c r="G205" s="18">
        <f>8224.84+341471.64</f>
        <v>349696.48000000004</v>
      </c>
      <c r="H205" s="18">
        <f>77278.52+14202.24</f>
        <v>91480.760000000009</v>
      </c>
      <c r="I205" s="18">
        <v>9396.9599999999991</v>
      </c>
      <c r="J205" s="18"/>
      <c r="K205" s="18">
        <v>1826</v>
      </c>
      <c r="L205" s="19">
        <f t="shared" si="0"/>
        <v>1169011.51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115583.22</v>
      </c>
      <c r="G206" s="18">
        <v>66431.78</v>
      </c>
      <c r="H206" s="18">
        <v>11136.69</v>
      </c>
      <c r="I206" s="18"/>
      <c r="J206" s="18"/>
      <c r="K206" s="18"/>
      <c r="L206" s="19">
        <f t="shared" si="0"/>
        <v>193151.69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44101.98+479370.74</f>
        <v>523472.72</v>
      </c>
      <c r="G207" s="18">
        <f>18847+259189.7</f>
        <v>278036.7</v>
      </c>
      <c r="H207" s="18">
        <f>120398.31+276504.56</f>
        <v>396902.87</v>
      </c>
      <c r="I207" s="18">
        <f>11903.98+483110.49-0.01</f>
        <v>495014.45999999996</v>
      </c>
      <c r="J207" s="18">
        <v>14240.6</v>
      </c>
      <c r="K207" s="18"/>
      <c r="L207" s="19">
        <f t="shared" si="0"/>
        <v>1707667.35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1028547.89+435.1</f>
        <v>1028982.99</v>
      </c>
      <c r="I208" s="18"/>
      <c r="J208" s="18"/>
      <c r="K208" s="18"/>
      <c r="L208" s="19">
        <f t="shared" si="0"/>
        <v>1028982.99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16707.18</v>
      </c>
      <c r="G209" s="18">
        <v>3886.16</v>
      </c>
      <c r="H209" s="18">
        <v>92504.72</v>
      </c>
      <c r="I209" s="18">
        <v>5008.29</v>
      </c>
      <c r="J209" s="18"/>
      <c r="K209" s="18"/>
      <c r="L209" s="19">
        <f>SUM(F209:K209)</f>
        <v>118106.34999999999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12623080.900000002</v>
      </c>
      <c r="G211" s="41">
        <f t="shared" si="1"/>
        <v>5331172.3000000017</v>
      </c>
      <c r="H211" s="41">
        <f t="shared" si="1"/>
        <v>2554803.3800000004</v>
      </c>
      <c r="I211" s="41">
        <f t="shared" si="1"/>
        <v>895332.34000000008</v>
      </c>
      <c r="J211" s="41">
        <f t="shared" si="1"/>
        <v>214723.64800000002</v>
      </c>
      <c r="K211" s="41">
        <f t="shared" si="1"/>
        <v>7014.2445599999992</v>
      </c>
      <c r="L211" s="41">
        <f t="shared" si="1"/>
        <v>21626126.812560003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112860.76+3670842.3</f>
        <v>3783703.0599999996</v>
      </c>
      <c r="G215" s="18">
        <f>1715650.04+93592.71+8.19+236.06+2972.07</f>
        <v>1812459.07</v>
      </c>
      <c r="H215" s="18">
        <v>1627.98</v>
      </c>
      <c r="I215" s="18">
        <v>89922.93</v>
      </c>
      <c r="J215" s="18">
        <v>12724.4</v>
      </c>
      <c r="K215" s="18"/>
      <c r="L215" s="19">
        <f>SUM(F215:K215)</f>
        <v>5700437.4400000004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960603.07+156073.46</f>
        <v>1116676.53</v>
      </c>
      <c r="G216" s="18">
        <f>96270.28+307828.28</f>
        <v>404098.56000000006</v>
      </c>
      <c r="H216" s="18">
        <f>69643.42+489121.43</f>
        <v>558764.85</v>
      </c>
      <c r="I216" s="18">
        <f>1246.79+3435.22</f>
        <v>4682.01</v>
      </c>
      <c r="J216" s="18">
        <v>2353.09</v>
      </c>
      <c r="K216" s="18">
        <f>994*0.236</f>
        <v>234.58399999999997</v>
      </c>
      <c r="L216" s="19">
        <f>SUM(F216:K216)</f>
        <v>2086809.6240000001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48378+8677.72</f>
        <v>57055.72</v>
      </c>
      <c r="G218" s="18">
        <f>12486.2+2104.23-8.19-236.06-2972.07</f>
        <v>11374.11</v>
      </c>
      <c r="H218" s="18">
        <f>7157</f>
        <v>7157</v>
      </c>
      <c r="I218" s="18">
        <f>666.61+6327.77</f>
        <v>6994.38</v>
      </c>
      <c r="J218" s="18"/>
      <c r="K218" s="18">
        <v>1230</v>
      </c>
      <c r="L218" s="19">
        <f>SUM(F218:K218)</f>
        <v>83811.210000000006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386586.66+39021.3</f>
        <v>425607.95999999996</v>
      </c>
      <c r="G220" s="18">
        <f>21041.7+159741.97</f>
        <v>180783.67</v>
      </c>
      <c r="H220" s="18">
        <f>4095+81655.78</f>
        <v>85750.78</v>
      </c>
      <c r="I220" s="18">
        <f>1808.99+7661.82</f>
        <v>9470.81</v>
      </c>
      <c r="J220" s="18"/>
      <c r="K220" s="18"/>
      <c r="L220" s="19">
        <f t="shared" ref="L220:L226" si="2">SUM(F220:K220)</f>
        <v>701613.22000000009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119132.61+139866.44</f>
        <v>258999.05</v>
      </c>
      <c r="G221" s="18">
        <f>71369.54+43362.67</f>
        <v>114732.20999999999</v>
      </c>
      <c r="H221" s="18">
        <v>21638.33</v>
      </c>
      <c r="I221" s="18">
        <f>28199.27+21794.43</f>
        <v>49993.7</v>
      </c>
      <c r="J221" s="18">
        <f>16961.58+92851.72-1029*0.236</f>
        <v>109570.45600000001</v>
      </c>
      <c r="K221" s="18"/>
      <c r="L221" s="19">
        <f t="shared" si="2"/>
        <v>554933.74600000004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121609.68</v>
      </c>
      <c r="G222" s="18">
        <v>61919.45</v>
      </c>
      <c r="H222" s="18">
        <v>18806.11</v>
      </c>
      <c r="I222" s="18">
        <v>3436.77</v>
      </c>
      <c r="J222" s="18"/>
      <c r="K222" s="18">
        <f>11033.07*0.236</f>
        <v>2603.8045199999997</v>
      </c>
      <c r="L222" s="19">
        <f t="shared" si="2"/>
        <v>208375.81451999999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359665.07</v>
      </c>
      <c r="G223" s="18">
        <f>4757.51+205696.69</f>
        <v>210454.2</v>
      </c>
      <c r="H223" s="18">
        <f>14306.83+44700.32</f>
        <v>59007.15</v>
      </c>
      <c r="I223" s="18">
        <f>9215.95</f>
        <v>9215.9500000000007</v>
      </c>
      <c r="J223" s="18"/>
      <c r="K223" s="18">
        <v>473</v>
      </c>
      <c r="L223" s="19">
        <f t="shared" si="2"/>
        <v>638815.37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66856.960000000006</v>
      </c>
      <c r="G224" s="18">
        <v>38426.22</v>
      </c>
      <c r="H224" s="18">
        <v>6441.81</v>
      </c>
      <c r="I224" s="18"/>
      <c r="J224" s="18"/>
      <c r="K224" s="18"/>
      <c r="L224" s="19">
        <f t="shared" si="2"/>
        <v>111724.99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25509.97+209756.79</f>
        <v>235266.76</v>
      </c>
      <c r="G225" s="18">
        <f>10901.69+127279.01</f>
        <v>138180.69999999998</v>
      </c>
      <c r="H225" s="18">
        <f>159938.91+48524.7</f>
        <v>208463.61</v>
      </c>
      <c r="I225" s="18">
        <f>6885.64+178309.48</f>
        <v>185195.12000000002</v>
      </c>
      <c r="J225" s="18">
        <v>8237.2099999999991</v>
      </c>
      <c r="K225" s="18"/>
      <c r="L225" s="19">
        <f t="shared" si="2"/>
        <v>775343.39999999991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594944.37+8653.2+251.67</f>
        <v>603849.24</v>
      </c>
      <c r="I226" s="18"/>
      <c r="J226" s="18"/>
      <c r="K226" s="18"/>
      <c r="L226" s="19">
        <f t="shared" si="2"/>
        <v>603849.24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9663.9500000000007</v>
      </c>
      <c r="G227" s="18">
        <v>2247.88</v>
      </c>
      <c r="H227" s="18">
        <v>53507.63</v>
      </c>
      <c r="I227" s="18">
        <v>2896.95</v>
      </c>
      <c r="J227" s="18"/>
      <c r="K227" s="18"/>
      <c r="L227" s="19">
        <f>SUM(F227:K227)</f>
        <v>68316.41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6435104.7399999993</v>
      </c>
      <c r="G229" s="41">
        <f>SUM(G215:G228)</f>
        <v>2974676.0700000003</v>
      </c>
      <c r="H229" s="41">
        <f>SUM(H215:H228)</f>
        <v>1625014.4899999998</v>
      </c>
      <c r="I229" s="41">
        <f>SUM(I215:I228)</f>
        <v>361808.62000000005</v>
      </c>
      <c r="J229" s="41">
        <f>SUM(J215:J228)</f>
        <v>132885.15600000002</v>
      </c>
      <c r="K229" s="41">
        <f t="shared" si="3"/>
        <v>4541.3885199999995</v>
      </c>
      <c r="L229" s="41">
        <f t="shared" si="3"/>
        <v>11534030.46452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170247.58+5751528.82+0.01</f>
        <v>5921776.4100000001</v>
      </c>
      <c r="G233" s="18">
        <f>141182.22+2600411.29+0.03+64.22+6315.45+405.3-0.02</f>
        <v>2748378.49</v>
      </c>
      <c r="H233" s="18">
        <v>29421.99</v>
      </c>
      <c r="I233" s="18">
        <v>199104.71</v>
      </c>
      <c r="J233" s="18">
        <v>37082</v>
      </c>
      <c r="K233" s="18"/>
      <c r="L233" s="19">
        <f>SUM(F233:K233)</f>
        <v>8935763.6000000015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1166080.87+235432.85</f>
        <v>1401513.7200000002</v>
      </c>
      <c r="G234" s="18">
        <f>458786.95+145221.27</f>
        <v>604008.22</v>
      </c>
      <c r="H234" s="18">
        <f>1331045.41+105055.33-0.01-78.4</f>
        <v>1436022.33</v>
      </c>
      <c r="I234" s="18">
        <f>1880.75+1467.76</f>
        <v>3348.51</v>
      </c>
      <c r="J234" s="18">
        <v>3549.57</v>
      </c>
      <c r="K234" s="18">
        <f>994*0.356</f>
        <v>353.86399999999998</v>
      </c>
      <c r="L234" s="19">
        <f>SUM(F234:K234)</f>
        <v>3448796.2140000002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1076239.73</v>
      </c>
      <c r="G235" s="18">
        <f>455694.18+3495.55</f>
        <v>459189.73</v>
      </c>
      <c r="H235" s="18">
        <v>24874.07</v>
      </c>
      <c r="I235" s="18">
        <v>90256.75</v>
      </c>
      <c r="J235" s="18"/>
      <c r="K235" s="18"/>
      <c r="L235" s="19">
        <f>SUM(F235:K235)</f>
        <v>1650560.28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440515.52+13090.12</f>
        <v>453605.64</v>
      </c>
      <c r="G236" s="18">
        <f>3174.18+101077.32-6315.45-405.3-64.22</f>
        <v>97466.53</v>
      </c>
      <c r="H236" s="18">
        <f>142016.1</f>
        <v>142016.1</v>
      </c>
      <c r="I236" s="18">
        <f>1005.56+36917.63</f>
        <v>37923.189999999995</v>
      </c>
      <c r="J236" s="18">
        <v>8163.12</v>
      </c>
      <c r="K236" s="18">
        <v>16987.64</v>
      </c>
      <c r="L236" s="19">
        <f>SUM(F236:K236)</f>
        <v>756162.22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58862.64+705908</f>
        <v>764770.64</v>
      </c>
      <c r="G238" s="18">
        <f>315767.76+31740.87</f>
        <v>347508.63</v>
      </c>
      <c r="H238" s="18">
        <f>29920.34+123175.67</f>
        <v>153096.01</v>
      </c>
      <c r="I238" s="18">
        <f>2728.81+13753.25</f>
        <v>16482.060000000001</v>
      </c>
      <c r="J238" s="18"/>
      <c r="K238" s="18">
        <v>350</v>
      </c>
      <c r="L238" s="19">
        <f t="shared" ref="L238:L244" si="4">SUM(F238:K238)</f>
        <v>1282207.3400000001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119181.85+179708.52</f>
        <v>298890.37</v>
      </c>
      <c r="G239" s="18">
        <f>65411.49+41893.7</f>
        <v>107305.19</v>
      </c>
      <c r="H239" s="18">
        <f>32640.87+700.8</f>
        <v>33341.67</v>
      </c>
      <c r="I239" s="18">
        <f>42537.88+44445.88</f>
        <v>86983.76</v>
      </c>
      <c r="J239" s="18">
        <f>140064.46-1029*0.356</f>
        <v>139698.136</v>
      </c>
      <c r="K239" s="18">
        <v>127</v>
      </c>
      <c r="L239" s="19">
        <f t="shared" si="4"/>
        <v>666346.12599999993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183445.12</v>
      </c>
      <c r="G240" s="18">
        <v>93403.92</v>
      </c>
      <c r="H240" s="18">
        <v>28368.54</v>
      </c>
      <c r="I240" s="18">
        <v>5184.28</v>
      </c>
      <c r="J240" s="18"/>
      <c r="K240" s="18">
        <f>11033.07*0.356</f>
        <v>3927.7729199999999</v>
      </c>
      <c r="L240" s="19">
        <f t="shared" si="4"/>
        <v>314329.63292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616139.24</v>
      </c>
      <c r="G241" s="18">
        <f>326782.22+7176.58</f>
        <v>333958.8</v>
      </c>
      <c r="H241" s="18">
        <f>67429.29+27714.92</f>
        <v>95144.209999999992</v>
      </c>
      <c r="I241" s="18">
        <v>19074.86</v>
      </c>
      <c r="J241" s="18"/>
      <c r="K241" s="18">
        <v>4857</v>
      </c>
      <c r="L241" s="19">
        <f t="shared" si="4"/>
        <v>1069174.1100000001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100852.02</v>
      </c>
      <c r="G242" s="18">
        <v>57964.98</v>
      </c>
      <c r="H242" s="18">
        <v>9717.2999999999993</v>
      </c>
      <c r="I242" s="18"/>
      <c r="J242" s="18"/>
      <c r="K242" s="18"/>
      <c r="L242" s="19">
        <f t="shared" si="4"/>
        <v>168534.3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38481.14+577881.69</f>
        <v>616362.82999999996</v>
      </c>
      <c r="G243" s="18">
        <f>16444.93+299453.88-93.33</f>
        <v>315805.48</v>
      </c>
      <c r="H243" s="18">
        <f>241263.78+143864.85</f>
        <v>385128.63</v>
      </c>
      <c r="I243" s="18">
        <f>10386.81+488355.19</f>
        <v>498742</v>
      </c>
      <c r="J243" s="18">
        <v>12425.62</v>
      </c>
      <c r="K243" s="18"/>
      <c r="L243" s="19">
        <f t="shared" si="4"/>
        <v>1828464.56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897458.45+82541.33+379.65</f>
        <v>980379.42999999993</v>
      </c>
      <c r="I244" s="18"/>
      <c r="J244" s="18"/>
      <c r="K244" s="18"/>
      <c r="L244" s="19">
        <f t="shared" si="4"/>
        <v>980379.42999999993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14577.83</v>
      </c>
      <c r="G245" s="18">
        <v>3390.87</v>
      </c>
      <c r="H245" s="18">
        <v>80714.899999999994</v>
      </c>
      <c r="I245" s="18">
        <v>4369.9799999999996</v>
      </c>
      <c r="J245" s="18"/>
      <c r="K245" s="18"/>
      <c r="L245" s="19">
        <f>SUM(F245:K245)</f>
        <v>103053.57999999999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11448173.550000001</v>
      </c>
      <c r="G247" s="41">
        <f t="shared" si="5"/>
        <v>5168380.8400000008</v>
      </c>
      <c r="H247" s="41">
        <f t="shared" si="5"/>
        <v>3398225.18</v>
      </c>
      <c r="I247" s="41">
        <f t="shared" si="5"/>
        <v>961470.1</v>
      </c>
      <c r="J247" s="41">
        <f t="shared" si="5"/>
        <v>200918.446</v>
      </c>
      <c r="K247" s="41">
        <f t="shared" si="5"/>
        <v>26603.27692</v>
      </c>
      <c r="L247" s="41">
        <f t="shared" si="5"/>
        <v>21203771.392919999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f>142938.97</f>
        <v>142938.97</v>
      </c>
      <c r="G251" s="18">
        <f>65074.69+464.26</f>
        <v>65538.95</v>
      </c>
      <c r="H251" s="18">
        <v>1317.4</v>
      </c>
      <c r="I251" s="18">
        <v>4881.53</v>
      </c>
      <c r="J251" s="18"/>
      <c r="K251" s="18"/>
      <c r="L251" s="19">
        <f t="shared" si="6"/>
        <v>214676.84999999998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656475.85</v>
      </c>
      <c r="I255" s="18"/>
      <c r="J255" s="18"/>
      <c r="K255" s="18"/>
      <c r="L255" s="19">
        <f t="shared" si="6"/>
        <v>656475.85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142938.97</v>
      </c>
      <c r="G256" s="41">
        <f t="shared" si="7"/>
        <v>65538.95</v>
      </c>
      <c r="H256" s="41">
        <f t="shared" si="7"/>
        <v>657793.25</v>
      </c>
      <c r="I256" s="41">
        <f t="shared" si="7"/>
        <v>4881.53</v>
      </c>
      <c r="J256" s="41">
        <f t="shared" si="7"/>
        <v>0</v>
      </c>
      <c r="K256" s="41">
        <f t="shared" si="7"/>
        <v>0</v>
      </c>
      <c r="L256" s="41">
        <f>SUM(F256:K256)</f>
        <v>871152.7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30649298.16</v>
      </c>
      <c r="G257" s="41">
        <f t="shared" si="8"/>
        <v>13539768.160000002</v>
      </c>
      <c r="H257" s="41">
        <f t="shared" si="8"/>
        <v>8235836.3000000007</v>
      </c>
      <c r="I257" s="41">
        <f t="shared" si="8"/>
        <v>2223492.59</v>
      </c>
      <c r="J257" s="41">
        <f t="shared" si="8"/>
        <v>548527.25</v>
      </c>
      <c r="K257" s="41">
        <f t="shared" si="8"/>
        <v>38158.910000000003</v>
      </c>
      <c r="L257" s="41">
        <f t="shared" si="8"/>
        <v>55235081.370000005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1635000</v>
      </c>
      <c r="L260" s="19">
        <f>SUM(F260:K260)</f>
        <v>1635000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775949.67</v>
      </c>
      <c r="L261" s="19">
        <f>SUM(F261:K261)</f>
        <v>775949.67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2410949.67</v>
      </c>
      <c r="L270" s="41">
        <f t="shared" si="9"/>
        <v>2410949.67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30649298.16</v>
      </c>
      <c r="G271" s="42">
        <f t="shared" si="11"/>
        <v>13539768.160000002</v>
      </c>
      <c r="H271" s="42">
        <f t="shared" si="11"/>
        <v>8235836.3000000007</v>
      </c>
      <c r="I271" s="42">
        <f t="shared" si="11"/>
        <v>2223492.59</v>
      </c>
      <c r="J271" s="42">
        <f t="shared" si="11"/>
        <v>548527.25</v>
      </c>
      <c r="K271" s="42">
        <f t="shared" si="11"/>
        <v>2449108.58</v>
      </c>
      <c r="L271" s="42">
        <f t="shared" si="11"/>
        <v>57646031.040000007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641.17999999999995</v>
      </c>
      <c r="J276" s="18">
        <v>2200</v>
      </c>
      <c r="K276" s="18"/>
      <c r="L276" s="19">
        <f>SUM(F276:K276)</f>
        <v>2841.18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405449.81+9555.57</f>
        <v>415005.38</v>
      </c>
      <c r="G277" s="18">
        <f>33821.52+1083.9</f>
        <v>34905.42</v>
      </c>
      <c r="H277" s="18">
        <f>1824.01+1328.82</f>
        <v>3152.83</v>
      </c>
      <c r="I277" s="18">
        <f>27627.19+460.19</f>
        <v>28087.379999999997</v>
      </c>
      <c r="J277" s="18">
        <f>24540+5292.57</f>
        <v>29832.57</v>
      </c>
      <c r="K277" s="18"/>
      <c r="L277" s="19">
        <f>SUM(F277:K277)</f>
        <v>510983.58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1145.26</v>
      </c>
      <c r="G279" s="18">
        <v>231.46</v>
      </c>
      <c r="H279" s="18"/>
      <c r="I279" s="18"/>
      <c r="J279" s="18"/>
      <c r="K279" s="18"/>
      <c r="L279" s="19">
        <f>SUM(F279:K279)</f>
        <v>1376.72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28872.12</v>
      </c>
      <c r="G281" s="18"/>
      <c r="H281" s="18">
        <f>67635.75-0.01</f>
        <v>67635.740000000005</v>
      </c>
      <c r="I281" s="18">
        <v>72.849999999999994</v>
      </c>
      <c r="J281" s="18"/>
      <c r="K281" s="18"/>
      <c r="L281" s="19">
        <f t="shared" ref="L281:L287" si="12">SUM(F281:K281)</f>
        <v>96580.71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102458.79+11958.89</f>
        <v>114417.68</v>
      </c>
      <c r="G282" s="18">
        <f>49025.62+2156.57</f>
        <v>51182.19</v>
      </c>
      <c r="H282" s="18">
        <f>8037.6+13681.67</f>
        <v>21719.27</v>
      </c>
      <c r="I282" s="18">
        <v>1269.42</v>
      </c>
      <c r="J282" s="18"/>
      <c r="K282" s="18"/>
      <c r="L282" s="19">
        <f t="shared" si="12"/>
        <v>188588.56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24998</v>
      </c>
      <c r="K286" s="18"/>
      <c r="L286" s="19">
        <f t="shared" si="12"/>
        <v>24998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9207.03</f>
        <v>9207.0300000000007</v>
      </c>
      <c r="I287" s="18"/>
      <c r="J287" s="18"/>
      <c r="K287" s="18"/>
      <c r="L287" s="19">
        <f t="shared" si="12"/>
        <v>9207.0300000000007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559440.43999999994</v>
      </c>
      <c r="G290" s="42">
        <f t="shared" si="13"/>
        <v>86319.07</v>
      </c>
      <c r="H290" s="42">
        <f t="shared" si="13"/>
        <v>101714.87000000001</v>
      </c>
      <c r="I290" s="42">
        <f t="shared" si="13"/>
        <v>30070.829999999994</v>
      </c>
      <c r="J290" s="42">
        <f t="shared" si="13"/>
        <v>57030.57</v>
      </c>
      <c r="K290" s="42">
        <f t="shared" si="13"/>
        <v>0</v>
      </c>
      <c r="L290" s="41">
        <f t="shared" si="13"/>
        <v>834575.78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2226.56</v>
      </c>
      <c r="I295" s="18">
        <f>1465.11+370.88</f>
        <v>1835.9899999999998</v>
      </c>
      <c r="J295" s="18"/>
      <c r="K295" s="18"/>
      <c r="L295" s="19">
        <f>SUM(F295:K295)</f>
        <v>4062.5499999999997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173802+5527.24</f>
        <v>179329.24</v>
      </c>
      <c r="G296" s="18">
        <f>13295.85+626.96</f>
        <v>13922.810000000001</v>
      </c>
      <c r="H296" s="18">
        <v>768.63</v>
      </c>
      <c r="I296" s="18">
        <v>266.19</v>
      </c>
      <c r="J296" s="18">
        <v>3061.39</v>
      </c>
      <c r="K296" s="18"/>
      <c r="L296" s="19">
        <f>SUM(F296:K296)</f>
        <v>197348.26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16700.54</v>
      </c>
      <c r="G300" s="18"/>
      <c r="H300" s="18">
        <v>39122.639999999999</v>
      </c>
      <c r="I300" s="18">
        <v>837.07</v>
      </c>
      <c r="J300" s="18"/>
      <c r="K300" s="18"/>
      <c r="L300" s="19">
        <f t="shared" ref="L300:L306" si="14">SUM(F300:K300)</f>
        <v>56660.25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6917.4</v>
      </c>
      <c r="G301" s="18">
        <v>1247.43</v>
      </c>
      <c r="H301" s="18">
        <v>7913.91</v>
      </c>
      <c r="I301" s="18"/>
      <c r="J301" s="18"/>
      <c r="K301" s="18"/>
      <c r="L301" s="19">
        <f t="shared" si="14"/>
        <v>16078.74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3171.4/2</f>
        <v>1585.7</v>
      </c>
      <c r="I306" s="18"/>
      <c r="J306" s="18"/>
      <c r="K306" s="18"/>
      <c r="L306" s="19">
        <f t="shared" si="14"/>
        <v>1585.7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202947.18</v>
      </c>
      <c r="G309" s="42">
        <f t="shared" si="15"/>
        <v>15170.240000000002</v>
      </c>
      <c r="H309" s="42">
        <f t="shared" si="15"/>
        <v>51617.440000000002</v>
      </c>
      <c r="I309" s="42">
        <f t="shared" si="15"/>
        <v>2939.25</v>
      </c>
      <c r="J309" s="42">
        <f t="shared" si="15"/>
        <v>3061.39</v>
      </c>
      <c r="K309" s="42">
        <f t="shared" si="15"/>
        <v>0</v>
      </c>
      <c r="L309" s="41">
        <f t="shared" si="15"/>
        <v>275735.5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f>7800.41+559.46+41.39+2.64+2</f>
        <v>8405.8999999999978</v>
      </c>
      <c r="J314" s="18">
        <f>1541.15-41.39</f>
        <v>1499.76</v>
      </c>
      <c r="K314" s="18"/>
      <c r="L314" s="19">
        <f>SUM(F314:K314)</f>
        <v>9905.659999999998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243122.56+8337.7-0.01</f>
        <v>251460.25</v>
      </c>
      <c r="G315" s="18">
        <f>13455.49+945.75-0.01</f>
        <v>14401.23</v>
      </c>
      <c r="H315" s="18">
        <f>1159.46</f>
        <v>1159.46</v>
      </c>
      <c r="I315" s="18">
        <v>401.54</v>
      </c>
      <c r="J315" s="18">
        <v>4618.0200000000004</v>
      </c>
      <c r="K315" s="18"/>
      <c r="L315" s="19">
        <f>SUM(F315:K315)</f>
        <v>272040.5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31019.9</v>
      </c>
      <c r="G316" s="18">
        <v>4503.6400000000003</v>
      </c>
      <c r="H316" s="18">
        <v>13733</v>
      </c>
      <c r="I316" s="18">
        <v>15073.45</v>
      </c>
      <c r="J316" s="18">
        <v>49716.62</v>
      </c>
      <c r="K316" s="18"/>
      <c r="L316" s="19">
        <f>SUM(F316:K316)</f>
        <v>114046.61000000002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25192.34</v>
      </c>
      <c r="G319" s="18"/>
      <c r="H319" s="18">
        <f>59015.51+266.02</f>
        <v>59281.53</v>
      </c>
      <c r="I319" s="18"/>
      <c r="J319" s="18"/>
      <c r="K319" s="18"/>
      <c r="L319" s="19">
        <f t="shared" ref="L319:L325" si="16">SUM(F319:K319)</f>
        <v>84473.87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5200+10434.72</f>
        <v>15634.72</v>
      </c>
      <c r="G320" s="18">
        <f>1369.06+1881.71</f>
        <v>3250.77</v>
      </c>
      <c r="H320" s="18">
        <f>8651.69+11937.93</f>
        <v>20589.620000000003</v>
      </c>
      <c r="I320" s="18">
        <v>916.02</v>
      </c>
      <c r="J320" s="18"/>
      <c r="K320" s="18">
        <v>6138.71</v>
      </c>
      <c r="L320" s="19">
        <f t="shared" si="16"/>
        <v>46529.84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3171.4/2+1240</f>
        <v>2825.7</v>
      </c>
      <c r="I325" s="18"/>
      <c r="J325" s="18"/>
      <c r="K325" s="18"/>
      <c r="L325" s="19">
        <f t="shared" si="16"/>
        <v>2825.7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323307.21000000002</v>
      </c>
      <c r="G328" s="42">
        <f t="shared" si="17"/>
        <v>22155.64</v>
      </c>
      <c r="H328" s="42">
        <f t="shared" si="17"/>
        <v>97589.309999999983</v>
      </c>
      <c r="I328" s="42">
        <f t="shared" si="17"/>
        <v>24796.91</v>
      </c>
      <c r="J328" s="42">
        <f t="shared" si="17"/>
        <v>55834.400000000001</v>
      </c>
      <c r="K328" s="42">
        <f t="shared" si="17"/>
        <v>6138.71</v>
      </c>
      <c r="L328" s="41">
        <f t="shared" si="17"/>
        <v>529822.17999999993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123215.06</v>
      </c>
      <c r="G333" s="18">
        <v>14826.05</v>
      </c>
      <c r="H333" s="18">
        <v>11937.54</v>
      </c>
      <c r="I333" s="18">
        <f>7138.72</f>
        <v>7138.72</v>
      </c>
      <c r="J333" s="18">
        <v>1015.79</v>
      </c>
      <c r="K333" s="18"/>
      <c r="L333" s="19">
        <f t="shared" si="18"/>
        <v>158133.16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>
        <v>349.17</v>
      </c>
      <c r="J335" s="18"/>
      <c r="K335" s="18"/>
      <c r="L335" s="19">
        <f t="shared" si="18"/>
        <v>349.17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123215.06</v>
      </c>
      <c r="G337" s="41">
        <f t="shared" si="19"/>
        <v>14826.05</v>
      </c>
      <c r="H337" s="41">
        <f t="shared" si="19"/>
        <v>11937.54</v>
      </c>
      <c r="I337" s="41">
        <f t="shared" si="19"/>
        <v>7487.89</v>
      </c>
      <c r="J337" s="41">
        <f t="shared" si="19"/>
        <v>1015.79</v>
      </c>
      <c r="K337" s="41">
        <f t="shared" si="19"/>
        <v>0</v>
      </c>
      <c r="L337" s="41">
        <f t="shared" si="18"/>
        <v>158482.33000000002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1208909.8899999999</v>
      </c>
      <c r="G338" s="41">
        <f t="shared" si="20"/>
        <v>138471</v>
      </c>
      <c r="H338" s="41">
        <f t="shared" si="20"/>
        <v>262859.15999999997</v>
      </c>
      <c r="I338" s="41">
        <f t="shared" si="20"/>
        <v>65294.87999999999</v>
      </c>
      <c r="J338" s="41">
        <f t="shared" si="20"/>
        <v>116942.15</v>
      </c>
      <c r="K338" s="41">
        <f t="shared" si="20"/>
        <v>6138.71</v>
      </c>
      <c r="L338" s="41">
        <f t="shared" si="20"/>
        <v>1798615.79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16303.33</v>
      </c>
      <c r="L344" s="19">
        <f t="shared" ref="L344:L350" si="21">SUM(F344:K344)</f>
        <v>16303.33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16303.33</v>
      </c>
      <c r="L351" s="41">
        <f>SUM(L341:L350)</f>
        <v>16303.33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1208909.8899999999</v>
      </c>
      <c r="G352" s="41">
        <f>G338</f>
        <v>138471</v>
      </c>
      <c r="H352" s="41">
        <f>H338</f>
        <v>262859.15999999997</v>
      </c>
      <c r="I352" s="41">
        <f>I338</f>
        <v>65294.87999999999</v>
      </c>
      <c r="J352" s="41">
        <f>J338</f>
        <v>116942.15</v>
      </c>
      <c r="K352" s="47">
        <f>K338+K351</f>
        <v>22442.04</v>
      </c>
      <c r="L352" s="41">
        <f>L338+L351</f>
        <v>1814919.12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251043.75</v>
      </c>
      <c r="G358" s="18">
        <v>72245.67</v>
      </c>
      <c r="H358" s="18">
        <v>23301.23</v>
      </c>
      <c r="I358" s="18">
        <v>184810.42</v>
      </c>
      <c r="J358" s="18">
        <v>2602.96</v>
      </c>
      <c r="K358" s="18"/>
      <c r="L358" s="13">
        <f>SUM(F358:K358)</f>
        <v>534004.02999999991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123459.7</v>
      </c>
      <c r="G359" s="18">
        <v>45506.31</v>
      </c>
      <c r="H359" s="18">
        <v>9283.19</v>
      </c>
      <c r="I359" s="18">
        <v>176227.83</v>
      </c>
      <c r="J359" s="18">
        <v>2164.04</v>
      </c>
      <c r="K359" s="18"/>
      <c r="L359" s="19">
        <f>SUM(F359:K359)</f>
        <v>356641.07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253865.7</v>
      </c>
      <c r="G360" s="18">
        <v>92449.34</v>
      </c>
      <c r="H360" s="18">
        <v>16587.63</v>
      </c>
      <c r="I360" s="18">
        <v>374041.91</v>
      </c>
      <c r="J360" s="18">
        <v>3155.98</v>
      </c>
      <c r="K360" s="18"/>
      <c r="L360" s="19">
        <f>SUM(F360:K360)</f>
        <v>740100.56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628369.15</v>
      </c>
      <c r="G362" s="47">
        <f t="shared" si="22"/>
        <v>210201.32</v>
      </c>
      <c r="H362" s="47">
        <f t="shared" si="22"/>
        <v>49172.05</v>
      </c>
      <c r="I362" s="47">
        <f t="shared" si="22"/>
        <v>735080.15999999992</v>
      </c>
      <c r="J362" s="47">
        <f t="shared" si="22"/>
        <v>7922.98</v>
      </c>
      <c r="K362" s="47">
        <f t="shared" si="22"/>
        <v>0</v>
      </c>
      <c r="L362" s="47">
        <f t="shared" si="22"/>
        <v>1630745.66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175579.97</v>
      </c>
      <c r="G367" s="18">
        <v>163669.13</v>
      </c>
      <c r="H367" s="18">
        <v>349159.7</v>
      </c>
      <c r="I367" s="56">
        <f>SUM(F367:H367)</f>
        <v>688408.8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9230.4500000000007</v>
      </c>
      <c r="G368" s="63">
        <v>12558.7</v>
      </c>
      <c r="H368" s="63">
        <v>24882.21</v>
      </c>
      <c r="I368" s="56">
        <f>SUM(F368:H368)</f>
        <v>46671.360000000001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184810.42</v>
      </c>
      <c r="G369" s="47">
        <f>SUM(G367:G368)</f>
        <v>176227.83000000002</v>
      </c>
      <c r="H369" s="47">
        <f>SUM(H367:H368)</f>
        <v>374041.91000000003</v>
      </c>
      <c r="I369" s="47">
        <f>SUM(I367:I368)</f>
        <v>735080.16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f>870165.38+75751.49+30657</f>
        <v>976573.87</v>
      </c>
      <c r="I376" s="18"/>
      <c r="J376" s="18">
        <f>47206.16+127829.16+141545.56</f>
        <v>316580.88</v>
      </c>
      <c r="K376" s="18"/>
      <c r="L376" s="13">
        <f t="shared" si="23"/>
        <v>1293154.75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9687156.8900000006</v>
      </c>
      <c r="I378" s="18"/>
      <c r="J378" s="18"/>
      <c r="K378" s="18"/>
      <c r="L378" s="13">
        <f t="shared" si="23"/>
        <v>9687156.8900000006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10663730.76</v>
      </c>
      <c r="I382" s="41">
        <f t="shared" si="24"/>
        <v>0</v>
      </c>
      <c r="J382" s="47">
        <f t="shared" si="24"/>
        <v>316580.88</v>
      </c>
      <c r="K382" s="47">
        <f t="shared" si="24"/>
        <v>0</v>
      </c>
      <c r="L382" s="47">
        <f t="shared" si="24"/>
        <v>10980311.640000001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2.94</v>
      </c>
      <c r="I389" s="18"/>
      <c r="J389" s="24" t="s">
        <v>289</v>
      </c>
      <c r="K389" s="24" t="s">
        <v>289</v>
      </c>
      <c r="L389" s="56">
        <f t="shared" si="25"/>
        <v>2.94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2.94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2.94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13.37-2.94</f>
        <v>10.43</v>
      </c>
      <c r="I400" s="18">
        <v>14335</v>
      </c>
      <c r="J400" s="24" t="s">
        <v>289</v>
      </c>
      <c r="K400" s="24" t="s">
        <v>289</v>
      </c>
      <c r="L400" s="56">
        <f t="shared" si="26"/>
        <v>14345.43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10.43</v>
      </c>
      <c r="I401" s="47">
        <f>SUM(I395:I400)</f>
        <v>14335</v>
      </c>
      <c r="J401" s="45" t="s">
        <v>289</v>
      </c>
      <c r="K401" s="45" t="s">
        <v>289</v>
      </c>
      <c r="L401" s="47">
        <f>SUM(L395:L400)</f>
        <v>14345.43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13.37</v>
      </c>
      <c r="I408" s="47">
        <f>I393+I401+I407</f>
        <v>14335</v>
      </c>
      <c r="J408" s="24" t="s">
        <v>289</v>
      </c>
      <c r="K408" s="24" t="s">
        <v>289</v>
      </c>
      <c r="L408" s="47">
        <f>L393+L401+L407</f>
        <v>14348.37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29638.18</v>
      </c>
      <c r="G440" s="18">
        <f>134044.47-29638.18</f>
        <v>104406.29000000001</v>
      </c>
      <c r="H440" s="18"/>
      <c r="I440" s="56">
        <f t="shared" si="33"/>
        <v>134044.47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14335</v>
      </c>
      <c r="H441" s="18"/>
      <c r="I441" s="56">
        <f t="shared" si="33"/>
        <v>14335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29638.18</v>
      </c>
      <c r="G446" s="13">
        <f>SUM(G439:G445)</f>
        <v>118741.29000000001</v>
      </c>
      <c r="H446" s="13">
        <f>SUM(H439:H445)</f>
        <v>0</v>
      </c>
      <c r="I446" s="13">
        <f>SUM(I439:I445)</f>
        <v>148379.47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29638.18</v>
      </c>
      <c r="G459" s="18">
        <v>118741.29</v>
      </c>
      <c r="H459" s="18"/>
      <c r="I459" s="56">
        <f t="shared" si="34"/>
        <v>148379.47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29638.18</v>
      </c>
      <c r="G460" s="83">
        <f>SUM(G454:G459)</f>
        <v>118741.29</v>
      </c>
      <c r="H460" s="83">
        <f>SUM(H454:H459)</f>
        <v>0</v>
      </c>
      <c r="I460" s="83">
        <f>SUM(I454:I459)</f>
        <v>148379.47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29638.18</v>
      </c>
      <c r="G461" s="42">
        <f>G452+G460</f>
        <v>118741.29</v>
      </c>
      <c r="H461" s="42">
        <f>H452+H460</f>
        <v>0</v>
      </c>
      <c r="I461" s="42">
        <f>I452+I460</f>
        <v>148379.47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2259787.0699999998</v>
      </c>
      <c r="G465" s="18">
        <v>326479.55</v>
      </c>
      <c r="H465" s="18">
        <v>200765.54</v>
      </c>
      <c r="I465" s="18">
        <v>41485.97</v>
      </c>
      <c r="J465" s="18">
        <v>134031.1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57403574.460000001</v>
      </c>
      <c r="G468" s="18">
        <f>G193</f>
        <v>1538359.52</v>
      </c>
      <c r="H468" s="18">
        <f>H193</f>
        <v>1786995.45</v>
      </c>
      <c r="I468" s="18">
        <f>I193</f>
        <v>16207425.560000001</v>
      </c>
      <c r="J468" s="18">
        <f>J193</f>
        <v>14348.37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57403574.460000001</v>
      </c>
      <c r="G470" s="53">
        <f>SUM(G468:G469)</f>
        <v>1538359.52</v>
      </c>
      <c r="H470" s="53">
        <f>SUM(H468:H469)</f>
        <v>1786995.45</v>
      </c>
      <c r="I470" s="53">
        <f>SUM(I468:I469)</f>
        <v>16207425.560000001</v>
      </c>
      <c r="J470" s="53">
        <f>SUM(J468:J469)</f>
        <v>14348.37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57646031.040000007</v>
      </c>
      <c r="G472" s="18">
        <f>L362</f>
        <v>1630745.66</v>
      </c>
      <c r="H472" s="18">
        <f>L352</f>
        <v>1814919.12</v>
      </c>
      <c r="I472" s="18">
        <f>L382</f>
        <v>10980311.640000001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57646031.040000007</v>
      </c>
      <c r="G474" s="53">
        <f>SUM(G472:G473)</f>
        <v>1630745.66</v>
      </c>
      <c r="H474" s="53">
        <f>SUM(H472:H473)</f>
        <v>1814919.12</v>
      </c>
      <c r="I474" s="53">
        <f>SUM(I472:I473)</f>
        <v>10980311.640000001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2017330.4899999946</v>
      </c>
      <c r="G476" s="53">
        <f>(G465+G470)- G474</f>
        <v>234093.41000000015</v>
      </c>
      <c r="H476" s="53">
        <f>(H465+H470)- H474</f>
        <v>172841.86999999988</v>
      </c>
      <c r="I476" s="53">
        <f>(I465+I470)- I474</f>
        <v>5268599.8900000006</v>
      </c>
      <c r="J476" s="53">
        <f>(J465+J470)- J474</f>
        <v>148379.47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16</v>
      </c>
      <c r="H490" s="154">
        <v>16</v>
      </c>
      <c r="I490" s="154">
        <v>20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912</v>
      </c>
      <c r="H491" s="275" t="s">
        <v>912</v>
      </c>
      <c r="I491" s="275" t="s">
        <v>917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914</v>
      </c>
      <c r="H492" s="274" t="s">
        <v>915</v>
      </c>
      <c r="I492" s="275" t="s">
        <v>918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5704170</v>
      </c>
      <c r="G493" s="18">
        <v>14506160</v>
      </c>
      <c r="H493" s="18">
        <v>7493840</v>
      </c>
      <c r="I493" s="18">
        <v>16205153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5.25</v>
      </c>
      <c r="G494" s="18" t="s">
        <v>916</v>
      </c>
      <c r="H494" s="18">
        <v>3.51</v>
      </c>
      <c r="I494" s="18">
        <v>3.5828000000000002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855000</v>
      </c>
      <c r="G495" s="18">
        <v>12685000</v>
      </c>
      <c r="H495" s="18">
        <v>6110000</v>
      </c>
      <c r="I495" s="18">
        <v>16205153</v>
      </c>
      <c r="J495" s="18"/>
      <c r="K495" s="53">
        <f>SUM(F495:J495)</f>
        <v>35855153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285000</v>
      </c>
      <c r="G497" s="18">
        <v>910000</v>
      </c>
      <c r="H497" s="18">
        <v>440000</v>
      </c>
      <c r="I497" s="18">
        <v>0</v>
      </c>
      <c r="J497" s="18"/>
      <c r="K497" s="53">
        <f t="shared" si="35"/>
        <v>1635000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570000</v>
      </c>
      <c r="G498" s="204">
        <f t="shared" ref="G498:H498" si="36">G495-G497</f>
        <v>11775000</v>
      </c>
      <c r="H498" s="204">
        <f t="shared" si="36"/>
        <v>5670000</v>
      </c>
      <c r="I498" s="204">
        <v>16205153</v>
      </c>
      <c r="J498" s="204"/>
      <c r="K498" s="205">
        <f t="shared" si="35"/>
        <v>34220153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71962.51-39900</f>
        <v>32062.509999999995</v>
      </c>
      <c r="G499" s="18">
        <f>4781603.75-659197</f>
        <v>4122406.75</v>
      </c>
      <c r="H499" s="18">
        <v>1748856.25</v>
      </c>
      <c r="I499" s="18">
        <f>7708495.17-425147.07</f>
        <v>7283348.0999999996</v>
      </c>
      <c r="J499" s="18"/>
      <c r="K499" s="53">
        <f t="shared" si="35"/>
        <v>13186673.609999999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602062.51</v>
      </c>
      <c r="G500" s="42">
        <f>SUM(G498:G499)</f>
        <v>15897406.75</v>
      </c>
      <c r="H500" s="42">
        <f>SUM(H498:H499)</f>
        <v>7418856.25</v>
      </c>
      <c r="I500" s="42">
        <f>SUM(I498:I499)</f>
        <v>23488501.100000001</v>
      </c>
      <c r="J500" s="42">
        <f>SUM(J498:J499)</f>
        <v>0</v>
      </c>
      <c r="K500" s="42">
        <f t="shared" si="35"/>
        <v>47406826.609999999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285000</v>
      </c>
      <c r="G501" s="204">
        <v>910000</v>
      </c>
      <c r="H501" s="204">
        <v>440000</v>
      </c>
      <c r="I501" s="204">
        <v>731200</v>
      </c>
      <c r="J501" s="204"/>
      <c r="K501" s="205">
        <f t="shared" si="35"/>
        <v>2366200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16031.25+8015.63</f>
        <v>24046.880000000001</v>
      </c>
      <c r="G502" s="18">
        <f>317336.25+292811.75</f>
        <v>610148</v>
      </c>
      <c r="H502" s="18">
        <f>125856.25+117056.25</f>
        <v>242912.5</v>
      </c>
      <c r="I502" s="18">
        <f>369693.1+351047.5</f>
        <v>720740.6</v>
      </c>
      <c r="J502" s="18"/>
      <c r="K502" s="53">
        <f t="shared" si="35"/>
        <v>1597847.98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309046.88</v>
      </c>
      <c r="G503" s="42">
        <f>SUM(G501:G502)</f>
        <v>1520148</v>
      </c>
      <c r="H503" s="42">
        <f>SUM(H501:H502)</f>
        <v>682912.5</v>
      </c>
      <c r="I503" s="42">
        <f>SUM(I501:I502)</f>
        <v>1451940.6</v>
      </c>
      <c r="J503" s="42">
        <f>SUM(J501:J502)</f>
        <v>0</v>
      </c>
      <c r="K503" s="42">
        <f t="shared" si="35"/>
        <v>3964047.98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F198+F277-F531-F562</f>
        <v>2763309.0442400002</v>
      </c>
      <c r="G521" s="18">
        <f t="shared" ref="G521:K521" si="37">G198+G277-G531-G562</f>
        <v>736021.67684800003</v>
      </c>
      <c r="H521" s="18">
        <f t="shared" si="37"/>
        <v>612304.56103999994</v>
      </c>
      <c r="I521" s="18">
        <f t="shared" si="37"/>
        <v>40507.803119999997</v>
      </c>
      <c r="J521" s="18">
        <f t="shared" si="37"/>
        <v>32610.532160000002</v>
      </c>
      <c r="K521" s="18">
        <f t="shared" si="37"/>
        <v>405.55199999999996</v>
      </c>
      <c r="L521" s="88">
        <f>SUM(F521:K521)</f>
        <v>4185159.1694080001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F216+F296-F532-F563</f>
        <v>1208913.57608</v>
      </c>
      <c r="G522" s="18">
        <f t="shared" ref="G522:K522" si="38">G216+G296-G532-G563</f>
        <v>392272.13121600007</v>
      </c>
      <c r="H522" s="18">
        <f t="shared" si="38"/>
        <v>559411.91168000002</v>
      </c>
      <c r="I522" s="18">
        <f t="shared" si="38"/>
        <v>4086.1250399999999</v>
      </c>
      <c r="J522" s="18">
        <f t="shared" si="38"/>
        <v>4668.2527199999995</v>
      </c>
      <c r="K522" s="18">
        <f t="shared" si="38"/>
        <v>234.58399999999997</v>
      </c>
      <c r="L522" s="88">
        <f>SUM(F522:K522)</f>
        <v>2169586.5807360001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F234+F315-F533-F564</f>
        <v>1521597.6096800002</v>
      </c>
      <c r="G523" s="18">
        <f t="shared" ref="G523:K523" si="39">G234+G315-G533-G564</f>
        <v>579567.377936</v>
      </c>
      <c r="H523" s="18">
        <f t="shared" si="39"/>
        <v>1436998.4072799999</v>
      </c>
      <c r="I523" s="18">
        <f t="shared" si="39"/>
        <v>2449.63184</v>
      </c>
      <c r="J523" s="18">
        <f t="shared" si="39"/>
        <v>7041.9251199999999</v>
      </c>
      <c r="K523" s="18">
        <f t="shared" si="39"/>
        <v>353.86399999999998</v>
      </c>
      <c r="L523" s="88">
        <f>SUM(F523:K523)</f>
        <v>3548008.8158559999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5493820.2300000004</v>
      </c>
      <c r="G524" s="108">
        <f t="shared" ref="G524:L524" si="40">SUM(G521:G523)</f>
        <v>1707861.1860000002</v>
      </c>
      <c r="H524" s="108">
        <f t="shared" si="40"/>
        <v>2608714.88</v>
      </c>
      <c r="I524" s="108">
        <f t="shared" si="40"/>
        <v>47043.56</v>
      </c>
      <c r="J524" s="108">
        <f t="shared" si="40"/>
        <v>44320.71</v>
      </c>
      <c r="K524" s="108">
        <f t="shared" si="40"/>
        <v>994</v>
      </c>
      <c r="L524" s="89">
        <f t="shared" si="40"/>
        <v>9902754.5659999996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88751.02+664208.12</f>
        <v>752959.14</v>
      </c>
      <c r="G526" s="18">
        <f>F526*0.3</f>
        <v>225887.742</v>
      </c>
      <c r="H526" s="18">
        <f>104823.75+68503.3</f>
        <v>173327.05</v>
      </c>
      <c r="I526" s="18">
        <f>4793.63+3127.41</f>
        <v>7921.04</v>
      </c>
      <c r="J526" s="18"/>
      <c r="K526" s="18"/>
      <c r="L526" s="88">
        <f>SUM(F526:K526)</f>
        <v>1160094.9720000001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51336.37</v>
      </c>
      <c r="G527" s="18">
        <f t="shared" ref="G527:G528" si="41">F527*0.3</f>
        <v>15400.911</v>
      </c>
      <c r="H527" s="18">
        <v>39624.46</v>
      </c>
      <c r="I527" s="18">
        <v>1808.99</v>
      </c>
      <c r="J527" s="18"/>
      <c r="K527" s="18"/>
      <c r="L527" s="88">
        <f>SUM(F527:K527)</f>
        <v>108170.73100000001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77439.61</v>
      </c>
      <c r="G528" s="18">
        <f t="shared" si="41"/>
        <v>23231.882999999998</v>
      </c>
      <c r="H528" s="18">
        <v>59772.49</v>
      </c>
      <c r="I528" s="18">
        <v>2728.81</v>
      </c>
      <c r="J528" s="18"/>
      <c r="K528" s="18"/>
      <c r="L528" s="88">
        <f>SUM(F528:K528)</f>
        <v>163172.79300000001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881735.12</v>
      </c>
      <c r="G529" s="89">
        <f t="shared" ref="G529:L529" si="42">SUM(G526:G528)</f>
        <v>264520.53599999996</v>
      </c>
      <c r="H529" s="89">
        <f t="shared" si="42"/>
        <v>272724</v>
      </c>
      <c r="I529" s="89">
        <f t="shared" si="42"/>
        <v>12458.84</v>
      </c>
      <c r="J529" s="89">
        <f t="shared" si="42"/>
        <v>0</v>
      </c>
      <c r="K529" s="89">
        <f t="shared" si="42"/>
        <v>0</v>
      </c>
      <c r="L529" s="89">
        <f t="shared" si="42"/>
        <v>1431438.496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176500*0.408</f>
        <v>72012</v>
      </c>
      <c r="G531" s="18">
        <f>F531*0.4</f>
        <v>28804.800000000003</v>
      </c>
      <c r="H531" s="18"/>
      <c r="I531" s="18"/>
      <c r="J531" s="18"/>
      <c r="K531" s="18"/>
      <c r="L531" s="88">
        <f>SUM(F531:K531)</f>
        <v>100816.8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176500*0.236</f>
        <v>41654</v>
      </c>
      <c r="G532" s="18">
        <f t="shared" ref="G532:G533" si="43">F532*0.4</f>
        <v>16661.600000000002</v>
      </c>
      <c r="H532" s="18"/>
      <c r="I532" s="18"/>
      <c r="J532" s="18"/>
      <c r="K532" s="18"/>
      <c r="L532" s="88">
        <f>SUM(F532:K532)</f>
        <v>58315.600000000006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176500*0.356</f>
        <v>62834</v>
      </c>
      <c r="G533" s="18">
        <f t="shared" si="43"/>
        <v>25133.600000000002</v>
      </c>
      <c r="H533" s="18"/>
      <c r="I533" s="18"/>
      <c r="J533" s="18"/>
      <c r="K533" s="18"/>
      <c r="L533" s="88">
        <f>SUM(F533:K533)</f>
        <v>87967.6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176500</v>
      </c>
      <c r="G534" s="89">
        <f t="shared" ref="G534:L534" si="44">SUM(G531:G533)</f>
        <v>70600.000000000015</v>
      </c>
      <c r="H534" s="89">
        <f t="shared" si="44"/>
        <v>0</v>
      </c>
      <c r="I534" s="89">
        <f t="shared" si="44"/>
        <v>0</v>
      </c>
      <c r="J534" s="89">
        <f t="shared" si="44"/>
        <v>0</v>
      </c>
      <c r="K534" s="89">
        <f t="shared" si="44"/>
        <v>0</v>
      </c>
      <c r="L534" s="89">
        <f t="shared" si="44"/>
        <v>247100.00000000003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3682.36*0.408</f>
        <v>1502.4028799999999</v>
      </c>
      <c r="I536" s="18"/>
      <c r="J536" s="18"/>
      <c r="K536" s="18"/>
      <c r="L536" s="88">
        <f>SUM(F536:K536)</f>
        <v>1502.4028799999999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3682.36*0.236</f>
        <v>869.03696000000002</v>
      </c>
      <c r="I537" s="18"/>
      <c r="J537" s="18"/>
      <c r="K537" s="18"/>
      <c r="L537" s="88">
        <f>SUM(F537:K537)</f>
        <v>869.03696000000002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3682.36*0.356</f>
        <v>1310.9201599999999</v>
      </c>
      <c r="I538" s="18"/>
      <c r="J538" s="18"/>
      <c r="K538" s="18"/>
      <c r="L538" s="88">
        <f>SUM(F538:K538)</f>
        <v>1310.9201599999999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5">SUM(G536:G538)</f>
        <v>0</v>
      </c>
      <c r="H539" s="89">
        <f t="shared" si="45"/>
        <v>3682.3599999999997</v>
      </c>
      <c r="I539" s="89">
        <f t="shared" si="45"/>
        <v>0</v>
      </c>
      <c r="J539" s="89">
        <f t="shared" si="45"/>
        <v>0</v>
      </c>
      <c r="K539" s="89">
        <f t="shared" si="45"/>
        <v>0</v>
      </c>
      <c r="L539" s="89">
        <f t="shared" si="45"/>
        <v>3682.3599999999997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342746.57</v>
      </c>
      <c r="I541" s="18"/>
      <c r="J541" s="18"/>
      <c r="K541" s="18"/>
      <c r="L541" s="88">
        <f>SUM(F541:K541)</f>
        <v>342746.57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198255.37</v>
      </c>
      <c r="I542" s="18"/>
      <c r="J542" s="18"/>
      <c r="K542" s="18"/>
      <c r="L542" s="88">
        <f>SUM(F542:K542)</f>
        <v>198255.37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299063.19</v>
      </c>
      <c r="I543" s="18"/>
      <c r="J543" s="18"/>
      <c r="K543" s="18"/>
      <c r="L543" s="88">
        <f>SUM(F543:K543)</f>
        <v>299063.19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6">SUM(G541:G543)</f>
        <v>0</v>
      </c>
      <c r="H544" s="193">
        <f t="shared" si="46"/>
        <v>840065.12999999989</v>
      </c>
      <c r="I544" s="193">
        <f t="shared" si="46"/>
        <v>0</v>
      </c>
      <c r="J544" s="193">
        <f t="shared" si="46"/>
        <v>0</v>
      </c>
      <c r="K544" s="193">
        <f t="shared" si="46"/>
        <v>0</v>
      </c>
      <c r="L544" s="193">
        <f t="shared" si="46"/>
        <v>840065.12999999989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6552055.3500000006</v>
      </c>
      <c r="G545" s="89">
        <f t="shared" ref="G545:L545" si="47">G524+G529+G534+G539+G544</f>
        <v>2042981.7220000001</v>
      </c>
      <c r="H545" s="89">
        <f t="shared" si="47"/>
        <v>3725186.3699999996</v>
      </c>
      <c r="I545" s="89">
        <f t="shared" si="47"/>
        <v>59502.399999999994</v>
      </c>
      <c r="J545" s="89">
        <f t="shared" si="47"/>
        <v>44320.71</v>
      </c>
      <c r="K545" s="89">
        <f t="shared" si="47"/>
        <v>994</v>
      </c>
      <c r="L545" s="89">
        <f t="shared" si="47"/>
        <v>12425040.551999997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4185159.1694080001</v>
      </c>
      <c r="G549" s="87">
        <f>L526</f>
        <v>1160094.9720000001</v>
      </c>
      <c r="H549" s="87">
        <f>L531</f>
        <v>100816.8</v>
      </c>
      <c r="I549" s="87">
        <f>L536</f>
        <v>1502.4028799999999</v>
      </c>
      <c r="J549" s="87">
        <f>L541</f>
        <v>342746.57</v>
      </c>
      <c r="K549" s="87">
        <f>SUM(F549:J549)</f>
        <v>5790319.9142880002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2169586.5807360001</v>
      </c>
      <c r="G550" s="87">
        <f>L527</f>
        <v>108170.73100000001</v>
      </c>
      <c r="H550" s="87">
        <f>L532</f>
        <v>58315.600000000006</v>
      </c>
      <c r="I550" s="87">
        <f>L537</f>
        <v>869.03696000000002</v>
      </c>
      <c r="J550" s="87">
        <f>L542</f>
        <v>198255.37</v>
      </c>
      <c r="K550" s="87">
        <f>SUM(F550:J550)</f>
        <v>2535197.3186960006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3548008.8158559999</v>
      </c>
      <c r="G551" s="87">
        <f>L528</f>
        <v>163172.79300000001</v>
      </c>
      <c r="H551" s="87">
        <f>L533</f>
        <v>87967.6</v>
      </c>
      <c r="I551" s="87">
        <f>L538</f>
        <v>1310.9201599999999</v>
      </c>
      <c r="J551" s="87">
        <f>L543</f>
        <v>299063.19</v>
      </c>
      <c r="K551" s="87">
        <f>SUM(F551:J551)</f>
        <v>4099523.3190160003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8">SUM(F549:F551)</f>
        <v>9902754.5659999996</v>
      </c>
      <c r="G552" s="89">
        <f t="shared" si="48"/>
        <v>1431438.496</v>
      </c>
      <c r="H552" s="89">
        <f t="shared" si="48"/>
        <v>247100.00000000003</v>
      </c>
      <c r="I552" s="89">
        <f t="shared" si="48"/>
        <v>3682.3599999999997</v>
      </c>
      <c r="J552" s="89">
        <f t="shared" si="48"/>
        <v>840065.12999999989</v>
      </c>
      <c r="K552" s="89">
        <f t="shared" si="48"/>
        <v>12425040.552000001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9">SUM(F557:F559)</f>
        <v>0</v>
      </c>
      <c r="G560" s="108">
        <f t="shared" si="49"/>
        <v>0</v>
      </c>
      <c r="H560" s="108">
        <f t="shared" si="49"/>
        <v>0</v>
      </c>
      <c r="I560" s="108">
        <f t="shared" si="49"/>
        <v>0</v>
      </c>
      <c r="J560" s="108">
        <f t="shared" si="49"/>
        <v>0</v>
      </c>
      <c r="K560" s="108">
        <f t="shared" si="49"/>
        <v>0</v>
      </c>
      <c r="L560" s="89">
        <f t="shared" si="49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192534.72*0.408</f>
        <v>78554.165759999989</v>
      </c>
      <c r="G562" s="18">
        <f>F562*0.2</f>
        <v>15710.833151999999</v>
      </c>
      <c r="H562" s="18">
        <f>515.12*0.408</f>
        <v>210.16896</v>
      </c>
      <c r="I562" s="18">
        <f>3652.86*0.408</f>
        <v>1490.36688</v>
      </c>
      <c r="J562" s="18">
        <f>3161.98*0.408</f>
        <v>1290.0878399999999</v>
      </c>
      <c r="K562" s="18"/>
      <c r="L562" s="88">
        <f>SUM(F562:K562)</f>
        <v>97255.622591999971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192534.72*0.236</f>
        <v>45438.193919999998</v>
      </c>
      <c r="G563" s="18">
        <f t="shared" ref="G563:G564" si="50">F563*0.2</f>
        <v>9087.6387840000007</v>
      </c>
      <c r="H563" s="18">
        <f>515.12*0.236</f>
        <v>121.56832</v>
      </c>
      <c r="I563" s="18">
        <f>3652.86*0.236</f>
        <v>862.07496000000003</v>
      </c>
      <c r="J563" s="18">
        <f>3161.98*0.236</f>
        <v>746.22727999999995</v>
      </c>
      <c r="K563" s="18"/>
      <c r="L563" s="88">
        <f>SUM(F563:K563)</f>
        <v>56255.703263999996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192534.72*0.356</f>
        <v>68542.360319999992</v>
      </c>
      <c r="G564" s="18">
        <f t="shared" si="50"/>
        <v>13708.472064</v>
      </c>
      <c r="H564" s="18">
        <f>515.12*0.356</f>
        <v>183.38272000000001</v>
      </c>
      <c r="I564" s="18">
        <f>3652.86*0.356</f>
        <v>1300.4181599999999</v>
      </c>
      <c r="J564" s="18">
        <f>3161.98*0.356</f>
        <v>1125.66488</v>
      </c>
      <c r="K564" s="18"/>
      <c r="L564" s="88">
        <f>SUM(F564:K564)</f>
        <v>84860.298143999986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51">SUM(F562:F564)</f>
        <v>192534.71999999997</v>
      </c>
      <c r="G565" s="89">
        <f t="shared" si="51"/>
        <v>38506.944000000003</v>
      </c>
      <c r="H565" s="89">
        <f t="shared" si="51"/>
        <v>515.12</v>
      </c>
      <c r="I565" s="89">
        <f t="shared" si="51"/>
        <v>3652.8599999999997</v>
      </c>
      <c r="J565" s="89">
        <f t="shared" si="51"/>
        <v>3161.9799999999996</v>
      </c>
      <c r="K565" s="89">
        <f t="shared" si="51"/>
        <v>0</v>
      </c>
      <c r="L565" s="89">
        <f t="shared" si="51"/>
        <v>238371.62399999995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52">SUM(G567:G569)</f>
        <v>0</v>
      </c>
      <c r="H570" s="193">
        <f t="shared" si="52"/>
        <v>0</v>
      </c>
      <c r="I570" s="193">
        <f t="shared" si="52"/>
        <v>0</v>
      </c>
      <c r="J570" s="193">
        <f t="shared" si="52"/>
        <v>0</v>
      </c>
      <c r="K570" s="193">
        <f t="shared" si="52"/>
        <v>0</v>
      </c>
      <c r="L570" s="193">
        <f t="shared" si="52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192534.71999999997</v>
      </c>
      <c r="G571" s="89">
        <f t="shared" ref="G571:L571" si="53">G560+G565+G570</f>
        <v>38506.944000000003</v>
      </c>
      <c r="H571" s="89">
        <f t="shared" si="53"/>
        <v>515.12</v>
      </c>
      <c r="I571" s="89">
        <f t="shared" si="53"/>
        <v>3652.8599999999997</v>
      </c>
      <c r="J571" s="89">
        <f t="shared" si="53"/>
        <v>3161.9799999999996</v>
      </c>
      <c r="K571" s="89">
        <f t="shared" si="53"/>
        <v>0</v>
      </c>
      <c r="L571" s="89">
        <f t="shared" si="53"/>
        <v>238371.62399999995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4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4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4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53984.41</v>
      </c>
      <c r="G579" s="18"/>
      <c r="H579" s="18">
        <v>49686.35</v>
      </c>
      <c r="I579" s="87">
        <f t="shared" si="54"/>
        <v>103670.76000000001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4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4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22542.65+396898.79+3040.29</f>
        <v>422481.73</v>
      </c>
      <c r="G582" s="18">
        <v>489121.43</v>
      </c>
      <c r="H582" s="18">
        <v>846746.31</v>
      </c>
      <c r="I582" s="87">
        <f t="shared" si="54"/>
        <v>1758349.47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434139.35</v>
      </c>
      <c r="I583" s="87">
        <f t="shared" si="54"/>
        <v>434139.35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54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4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4039.65</v>
      </c>
      <c r="I586" s="87">
        <f t="shared" si="54"/>
        <v>4039.65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4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691792.74</v>
      </c>
      <c r="I591" s="18">
        <v>400154.62</v>
      </c>
      <c r="J591" s="18">
        <v>603623.06999999995</v>
      </c>
      <c r="K591" s="104">
        <f t="shared" ref="K591:K597" si="55">SUM(H591:J591)</f>
        <v>1695570.4299999997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826446.7*0.408</f>
        <v>337190.25359999994</v>
      </c>
      <c r="I592" s="18">
        <f>826446.7*0.236</f>
        <v>195041.42119999998</v>
      </c>
      <c r="J592" s="18">
        <f>826446.7*0.356</f>
        <v>294215.02519999997</v>
      </c>
      <c r="K592" s="104">
        <f t="shared" si="55"/>
        <v>826446.7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6216.6</v>
      </c>
      <c r="K593" s="104">
        <f t="shared" si="55"/>
        <v>6216.6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7573.2</v>
      </c>
      <c r="J594" s="18">
        <v>54969.46</v>
      </c>
      <c r="K594" s="104">
        <f t="shared" si="55"/>
        <v>62542.659999999996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1080</v>
      </c>
      <c r="J595" s="18">
        <v>21355.27</v>
      </c>
      <c r="K595" s="104">
        <f t="shared" si="55"/>
        <v>22435.27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5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5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1028982.9935999999</v>
      </c>
      <c r="I598" s="108">
        <f>SUM(I591:I597)</f>
        <v>603849.24119999993</v>
      </c>
      <c r="J598" s="108">
        <f>SUM(J591:J597)</f>
        <v>980379.42519999982</v>
      </c>
      <c r="K598" s="108">
        <f>SUM(K591:K597)</f>
        <v>2613211.66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272174.03999999998</v>
      </c>
      <c r="I604" s="18">
        <v>136189.39000000001</v>
      </c>
      <c r="J604" s="18">
        <f>257119.18+1015.79-1029</f>
        <v>257105.97</v>
      </c>
      <c r="K604" s="104">
        <f>SUM(H604:J604)</f>
        <v>665469.4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272174.03999999998</v>
      </c>
      <c r="I605" s="108">
        <f>SUM(I602:I604)</f>
        <v>136189.39000000001</v>
      </c>
      <c r="J605" s="108">
        <f>SUM(J602:J604)</f>
        <v>257105.97</v>
      </c>
      <c r="K605" s="108">
        <f>SUM(K602:K604)</f>
        <v>665469.4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37915.26*0.408</f>
        <v>15469.426079999999</v>
      </c>
      <c r="G611" s="18">
        <f>8251*0.408</f>
        <v>3366.4079999999999</v>
      </c>
      <c r="H611" s="18">
        <v>1066.43</v>
      </c>
      <c r="I611" s="18">
        <f>2824.6*0.408</f>
        <v>1152.4367999999999</v>
      </c>
      <c r="J611" s="18"/>
      <c r="K611" s="18"/>
      <c r="L611" s="88">
        <f>SUM(F611:K611)</f>
        <v>21054.70088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37915.26*0.236</f>
        <v>8948.0013600000002</v>
      </c>
      <c r="G612" s="18">
        <f>8251*0.236</f>
        <v>1947.2359999999999</v>
      </c>
      <c r="H612" s="18"/>
      <c r="I612" s="18">
        <f>2824.6*0.236</f>
        <v>666.60559999999998</v>
      </c>
      <c r="J612" s="18"/>
      <c r="K612" s="18"/>
      <c r="L612" s="88">
        <f>SUM(F612:K612)</f>
        <v>11561.84296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37915.26*0.356</f>
        <v>13497.832560000001</v>
      </c>
      <c r="G613" s="18">
        <f>8251*0.356</f>
        <v>2937.3559999999998</v>
      </c>
      <c r="H613" s="18"/>
      <c r="I613" s="18">
        <f>2824.6*0.356</f>
        <v>1005.5575999999999</v>
      </c>
      <c r="J613" s="18"/>
      <c r="K613" s="18"/>
      <c r="L613" s="88">
        <f>SUM(F613:K613)</f>
        <v>17440.746160000002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6">SUM(F611:F613)</f>
        <v>37915.26</v>
      </c>
      <c r="G614" s="108">
        <f t="shared" si="56"/>
        <v>8251</v>
      </c>
      <c r="H614" s="108">
        <f t="shared" si="56"/>
        <v>1066.43</v>
      </c>
      <c r="I614" s="108">
        <f t="shared" si="56"/>
        <v>2824.5999999999995</v>
      </c>
      <c r="J614" s="108">
        <f t="shared" si="56"/>
        <v>0</v>
      </c>
      <c r="K614" s="108">
        <f t="shared" si="56"/>
        <v>0</v>
      </c>
      <c r="L614" s="89">
        <f t="shared" si="56"/>
        <v>50057.29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2322709.7799999998</v>
      </c>
      <c r="H617" s="109">
        <f>SUM(F52)</f>
        <v>2322709.7799999998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549272.91</v>
      </c>
      <c r="H618" s="109">
        <f>SUM(G52)</f>
        <v>549272.91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349002.56</v>
      </c>
      <c r="H619" s="109">
        <f>SUM(H52)</f>
        <v>349002.56000000006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6123398.2599999998</v>
      </c>
      <c r="H620" s="109">
        <f>SUM(I52)</f>
        <v>6123398.2599999998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148379.47</v>
      </c>
      <c r="H621" s="109">
        <f>SUM(J52)</f>
        <v>148379.47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2017330.4899999998</v>
      </c>
      <c r="H622" s="109">
        <f>F476</f>
        <v>2017330.4899999946</v>
      </c>
      <c r="I622" s="121" t="s">
        <v>101</v>
      </c>
      <c r="J622" s="109">
        <f t="shared" ref="J622:J655" si="57">G622-H622</f>
        <v>5.1222741603851318E-9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234093.41</v>
      </c>
      <c r="H623" s="109">
        <f>G476</f>
        <v>234093.41000000015</v>
      </c>
      <c r="I623" s="121" t="s">
        <v>102</v>
      </c>
      <c r="J623" s="109">
        <f t="shared" si="57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172841.87</v>
      </c>
      <c r="H624" s="109">
        <f>H476</f>
        <v>172841.86999999988</v>
      </c>
      <c r="I624" s="121" t="s">
        <v>103</v>
      </c>
      <c r="J624" s="109">
        <f t="shared" si="57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5268599.8899999997</v>
      </c>
      <c r="H625" s="109">
        <f>I476</f>
        <v>5268599.8900000006</v>
      </c>
      <c r="I625" s="121" t="s">
        <v>104</v>
      </c>
      <c r="J625" s="109">
        <f t="shared" si="57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148379.47</v>
      </c>
      <c r="H626" s="109">
        <f>J476</f>
        <v>148379.47</v>
      </c>
      <c r="I626" s="140" t="s">
        <v>105</v>
      </c>
      <c r="J626" s="109">
        <f t="shared" si="57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57403574.460000001</v>
      </c>
      <c r="H627" s="104">
        <f>SUM(F468)</f>
        <v>57403574.460000001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1538359.52</v>
      </c>
      <c r="H628" s="104">
        <f>SUM(G468)</f>
        <v>1538359.52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1786995.45</v>
      </c>
      <c r="H629" s="104">
        <f>SUM(H468)</f>
        <v>1786995.45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16207425.560000001</v>
      </c>
      <c r="H630" s="104">
        <f>SUM(I468)</f>
        <v>16207425.560000001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14348.37</v>
      </c>
      <c r="H631" s="104">
        <f>SUM(J468)</f>
        <v>14348.37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57646031.040000007</v>
      </c>
      <c r="H632" s="104">
        <f>SUM(F472)</f>
        <v>57646031.040000007</v>
      </c>
      <c r="I632" s="140" t="s">
        <v>111</v>
      </c>
      <c r="J632" s="109">
        <f t="shared" si="57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1814919.12</v>
      </c>
      <c r="H633" s="104">
        <f>SUM(H472)</f>
        <v>1814919.12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735080.15999999992</v>
      </c>
      <c r="H634" s="104">
        <f>I369</f>
        <v>735080.16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1630745.66</v>
      </c>
      <c r="H635" s="104">
        <f>SUM(G472)</f>
        <v>1630745.66</v>
      </c>
      <c r="I635" s="140" t="s">
        <v>114</v>
      </c>
      <c r="J635" s="109">
        <f t="shared" si="57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10980311.640000001</v>
      </c>
      <c r="H636" s="104">
        <f>SUM(I472)</f>
        <v>10980311.640000001</v>
      </c>
      <c r="I636" s="140" t="s">
        <v>116</v>
      </c>
      <c r="J636" s="109">
        <f t="shared" si="57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14348.37</v>
      </c>
      <c r="H637" s="164">
        <f>SUM(J468)</f>
        <v>14348.37</v>
      </c>
      <c r="I637" s="165" t="s">
        <v>110</v>
      </c>
      <c r="J637" s="151">
        <f t="shared" si="57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7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29638.18</v>
      </c>
      <c r="H639" s="104">
        <f>SUM(F461)</f>
        <v>29638.18</v>
      </c>
      <c r="I639" s="140" t="s">
        <v>857</v>
      </c>
      <c r="J639" s="109">
        <f t="shared" si="57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118741.29000000001</v>
      </c>
      <c r="H640" s="104">
        <f>SUM(G461)</f>
        <v>118741.29</v>
      </c>
      <c r="I640" s="140" t="s">
        <v>858</v>
      </c>
      <c r="J640" s="109">
        <f t="shared" si="57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7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148379.47</v>
      </c>
      <c r="H642" s="104">
        <f>SUM(I461)</f>
        <v>148379.47</v>
      </c>
      <c r="I642" s="140" t="s">
        <v>860</v>
      </c>
      <c r="J642" s="109">
        <f t="shared" si="57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7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13.37</v>
      </c>
      <c r="H644" s="104">
        <f>H408</f>
        <v>13.37</v>
      </c>
      <c r="I644" s="140" t="s">
        <v>481</v>
      </c>
      <c r="J644" s="109">
        <f t="shared" si="57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7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14348.37</v>
      </c>
      <c r="H646" s="104">
        <f>L408</f>
        <v>14348.37</v>
      </c>
      <c r="I646" s="140" t="s">
        <v>478</v>
      </c>
      <c r="J646" s="109">
        <f t="shared" si="57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2613211.66</v>
      </c>
      <c r="H647" s="104">
        <f>L208+L226+L244</f>
        <v>2613211.66</v>
      </c>
      <c r="I647" s="140" t="s">
        <v>397</v>
      </c>
      <c r="J647" s="109">
        <f t="shared" si="57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665469.4</v>
      </c>
      <c r="H648" s="104">
        <f>(J257+J338)-(J255+J336)</f>
        <v>665469.4</v>
      </c>
      <c r="I648" s="140" t="s">
        <v>703</v>
      </c>
      <c r="J648" s="109">
        <f t="shared" si="57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1028982.99</v>
      </c>
      <c r="H649" s="104">
        <f>H598</f>
        <v>1028982.9935999999</v>
      </c>
      <c r="I649" s="140" t="s">
        <v>389</v>
      </c>
      <c r="J649" s="109">
        <f t="shared" si="57"/>
        <v>-3.599999938160181E-3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603849.24</v>
      </c>
      <c r="H650" s="104">
        <f>I598</f>
        <v>603849.24119999993</v>
      </c>
      <c r="I650" s="140" t="s">
        <v>390</v>
      </c>
      <c r="J650" s="109">
        <f t="shared" si="57"/>
        <v>-1.1999999405816197E-3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980379.42999999993</v>
      </c>
      <c r="H651" s="104">
        <f>J598</f>
        <v>980379.42519999982</v>
      </c>
      <c r="I651" s="140" t="s">
        <v>391</v>
      </c>
      <c r="J651" s="109">
        <f t="shared" si="57"/>
        <v>4.8000001115724444E-3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7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7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7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7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22994706.622560006</v>
      </c>
      <c r="G660" s="19">
        <f>(L229+L309+L359)</f>
        <v>12166407.03452</v>
      </c>
      <c r="H660" s="19">
        <f>(L247+L328+L360)</f>
        <v>22473694.132919997</v>
      </c>
      <c r="I660" s="19">
        <f>SUM(F660:H660)</f>
        <v>57634807.790000007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362661.66724064777</v>
      </c>
      <c r="G661" s="19">
        <f>(L359/IF(SUM(L358:L360)=0,1,SUM(L358:L360))*(SUM(G97:G110)))</f>
        <v>242207.99429676324</v>
      </c>
      <c r="H661" s="19">
        <f>(L360/IF(SUM(L358:L360)=0,1,SUM(L358:L360))*(SUM(G97:G110)))</f>
        <v>502629.35846258904</v>
      </c>
      <c r="I661" s="19">
        <f>SUM(F661:H661)</f>
        <v>1107499.02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1038190.02</v>
      </c>
      <c r="G662" s="19">
        <f>(L226+L306)-(J226+J306)</f>
        <v>605434.93999999994</v>
      </c>
      <c r="H662" s="19">
        <f>(L244+L325)-(J244+J325)</f>
        <v>983205.12999999989</v>
      </c>
      <c r="I662" s="19">
        <f>SUM(F662:H662)</f>
        <v>2626830.09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769694.88087999995</v>
      </c>
      <c r="G663" s="199">
        <f>SUM(G575:G587)+SUM(I602:I604)+L612</f>
        <v>636872.6629600001</v>
      </c>
      <c r="H663" s="199">
        <f>SUM(H575:H587)+SUM(J602:J604)+L613</f>
        <v>1609158.37616</v>
      </c>
      <c r="I663" s="19">
        <f>SUM(F663:H663)</f>
        <v>3015725.92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20824160.054439358</v>
      </c>
      <c r="G664" s="19">
        <f>G660-SUM(G661:G663)</f>
        <v>10681891.437263237</v>
      </c>
      <c r="H664" s="19">
        <f>H660-SUM(H661:H663)</f>
        <v>19378701.268297408</v>
      </c>
      <c r="I664" s="19">
        <f>I660-SUM(I661:I663)</f>
        <v>50884752.760000005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1531.22</v>
      </c>
      <c r="G665" s="248">
        <v>912.52</v>
      </c>
      <c r="H665" s="248">
        <v>1361.51</v>
      </c>
      <c r="I665" s="19">
        <f>SUM(F665:H665)</f>
        <v>3805.25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13599.72</v>
      </c>
      <c r="G667" s="19">
        <f>ROUND(G664/G665,2)</f>
        <v>11705.93</v>
      </c>
      <c r="H667" s="19">
        <f>ROUND(H664/H665,2)</f>
        <v>14233.24</v>
      </c>
      <c r="I667" s="19">
        <f>ROUND(I664/I665,2)</f>
        <v>13372.25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20.440000000000001</v>
      </c>
      <c r="I670" s="19">
        <f>SUM(F670:H670)</f>
        <v>20.440000000000001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13599.72</v>
      </c>
      <c r="G672" s="19">
        <f>ROUND((G664+G669)/(G665+G670),2)</f>
        <v>11705.93</v>
      </c>
      <c r="H672" s="19">
        <f>ROUND((H664+H669)/(H665+H670),2)</f>
        <v>14022.72</v>
      </c>
      <c r="I672" s="19">
        <f>ROUND((I664+I669)/(I665+I670),2)</f>
        <v>13300.8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31" sqref="C3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Salem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16416575.689999999</v>
      </c>
      <c r="C9" s="229">
        <f>'DOE25'!G197+'DOE25'!G215+'DOE25'!G233+'DOE25'!G276+'DOE25'!G295+'DOE25'!G314</f>
        <v>7512868.6100000003</v>
      </c>
    </row>
    <row r="10" spans="1:3" x14ac:dyDescent="0.2">
      <c r="A10" t="s">
        <v>779</v>
      </c>
      <c r="B10" s="240">
        <v>15630997.65</v>
      </c>
      <c r="C10" s="240">
        <v>7152250.9199999999</v>
      </c>
    </row>
    <row r="11" spans="1:3" x14ac:dyDescent="0.2">
      <c r="A11" t="s">
        <v>780</v>
      </c>
      <c r="B11" s="240">
        <v>416422.1</v>
      </c>
      <c r="C11" s="240">
        <v>195334.58</v>
      </c>
    </row>
    <row r="12" spans="1:3" x14ac:dyDescent="0.2">
      <c r="A12" t="s">
        <v>781</v>
      </c>
      <c r="B12" s="240">
        <v>369155.94</v>
      </c>
      <c r="C12" s="240">
        <v>165283.10999999999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16416575.689999999</v>
      </c>
      <c r="C13" s="231">
        <f>SUM(C10:C12)</f>
        <v>7512868.6100000003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5862854.9500000002</v>
      </c>
      <c r="C18" s="229">
        <f>'DOE25'!G198+'DOE25'!G216+'DOE25'!G234+'DOE25'!G277+'DOE25'!G296+'DOE25'!G315</f>
        <v>1816968.1300000001</v>
      </c>
    </row>
    <row r="19" spans="1:3" x14ac:dyDescent="0.2">
      <c r="A19" t="s">
        <v>779</v>
      </c>
      <c r="B19" s="240">
        <v>2297353.44</v>
      </c>
      <c r="C19" s="240">
        <f>C18*0.392</f>
        <v>712251.50696000003</v>
      </c>
    </row>
    <row r="20" spans="1:3" x14ac:dyDescent="0.2">
      <c r="A20" t="s">
        <v>780</v>
      </c>
      <c r="B20" s="240">
        <v>2603200.4700000002</v>
      </c>
      <c r="C20" s="240">
        <f>C18*0.444</f>
        <v>806733.84972000006</v>
      </c>
    </row>
    <row r="21" spans="1:3" x14ac:dyDescent="0.2">
      <c r="A21" t="s">
        <v>781</v>
      </c>
      <c r="B21" s="240">
        <v>962301.04</v>
      </c>
      <c r="C21" s="240">
        <f>C18*0.164</f>
        <v>297982.77332000004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5862854.9500000002</v>
      </c>
      <c r="C22" s="231">
        <f>SUM(C19:C21)</f>
        <v>1816968.1300000004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1107259.6299999999</v>
      </c>
      <c r="C27" s="234">
        <f>'DOE25'!G199+'DOE25'!G217+'DOE25'!G235+'DOE25'!G278+'DOE25'!G297+'DOE25'!G316</f>
        <v>463693.37</v>
      </c>
    </row>
    <row r="28" spans="1:3" x14ac:dyDescent="0.2">
      <c r="A28" t="s">
        <v>779</v>
      </c>
      <c r="B28" s="240">
        <f>826819.85+5050</f>
        <v>831869.85</v>
      </c>
      <c r="C28" s="240">
        <f>C27*0.747</f>
        <v>346378.94738999999</v>
      </c>
    </row>
    <row r="29" spans="1:3" x14ac:dyDescent="0.2">
      <c r="A29" t="s">
        <v>780</v>
      </c>
      <c r="B29" s="240">
        <v>148240.07999999999</v>
      </c>
      <c r="C29" s="240">
        <f>C27*0.138</f>
        <v>63989.685060000003</v>
      </c>
    </row>
    <row r="30" spans="1:3" x14ac:dyDescent="0.2">
      <c r="A30" t="s">
        <v>781</v>
      </c>
      <c r="B30" s="240">
        <v>127149.7</v>
      </c>
      <c r="C30" s="240">
        <f>C27*0.115</f>
        <v>53324.737550000005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1107259.6299999999</v>
      </c>
      <c r="C31" s="231">
        <f>SUM(C28:C30)</f>
        <v>463693.37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526808.78</v>
      </c>
      <c r="C36" s="235">
        <f>'DOE25'!G200+'DOE25'!G218+'DOE25'!G236+'DOE25'!G279+'DOE25'!G298+'DOE25'!G317</f>
        <v>112709.93000000001</v>
      </c>
    </row>
    <row r="37" spans="1:3" x14ac:dyDescent="0.2">
      <c r="A37" t="s">
        <v>779</v>
      </c>
      <c r="B37" s="240">
        <v>526808.78</v>
      </c>
      <c r="C37" s="240">
        <v>112709.93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526808.78</v>
      </c>
      <c r="C40" s="231">
        <f>SUM(C37:C39)</f>
        <v>112709.93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6" activePane="bottomLeft" state="frozen"/>
      <selection activeCell="F46" sqref="F46"/>
      <selection pane="bottomLeft" activeCell="E8" sqref="E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Salem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36508270.460000001</v>
      </c>
      <c r="D5" s="20">
        <f>SUM('DOE25'!L197:L200)+SUM('DOE25'!L215:L218)+SUM('DOE25'!L233:L236)-F5-G5</f>
        <v>36384664.879999995</v>
      </c>
      <c r="E5" s="243"/>
      <c r="F5" s="255">
        <f>SUM('DOE25'!J197:J200)+SUM('DOE25'!J215:J218)+SUM('DOE25'!J233:J236)</f>
        <v>104251.74</v>
      </c>
      <c r="G5" s="53">
        <f>SUM('DOE25'!K197:K200)+SUM('DOE25'!K215:K218)+SUM('DOE25'!K233:K236)</f>
        <v>19353.84</v>
      </c>
      <c r="H5" s="259"/>
    </row>
    <row r="6" spans="1:9" x14ac:dyDescent="0.2">
      <c r="A6" s="32">
        <v>2100</v>
      </c>
      <c r="B6" t="s">
        <v>801</v>
      </c>
      <c r="C6" s="245">
        <f t="shared" si="0"/>
        <v>4355781.790000001</v>
      </c>
      <c r="D6" s="20">
        <f>'DOE25'!L202+'DOE25'!L220+'DOE25'!L238-F6-G6</f>
        <v>4355431.790000001</v>
      </c>
      <c r="E6" s="243"/>
      <c r="F6" s="255">
        <f>'DOE25'!J202+'DOE25'!J220+'DOE25'!J238</f>
        <v>0</v>
      </c>
      <c r="G6" s="53">
        <f>'DOE25'!K202+'DOE25'!K220+'DOE25'!K238</f>
        <v>350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2052352.74</v>
      </c>
      <c r="D7" s="20">
        <f>'DOE25'!L203+'DOE25'!L221+'DOE25'!L239-F7-G7</f>
        <v>1642714.66</v>
      </c>
      <c r="E7" s="243"/>
      <c r="F7" s="255">
        <f>'DOE25'!J203+'DOE25'!J221+'DOE25'!J239</f>
        <v>409372.08</v>
      </c>
      <c r="G7" s="53">
        <f>'DOE25'!K203+'DOE25'!K221+'DOE25'!K239</f>
        <v>266</v>
      </c>
      <c r="H7" s="259"/>
    </row>
    <row r="8" spans="1:9" x14ac:dyDescent="0.2">
      <c r="A8" s="32">
        <v>2300</v>
      </c>
      <c r="B8" t="s">
        <v>802</v>
      </c>
      <c r="C8" s="245">
        <f t="shared" si="0"/>
        <v>431710.03</v>
      </c>
      <c r="D8" s="243"/>
      <c r="E8" s="20">
        <f>'DOE25'!L204+'DOE25'!L222+'DOE25'!L240-F8-G8-D9-D11</f>
        <v>420676.96</v>
      </c>
      <c r="F8" s="255">
        <f>'DOE25'!J204+'DOE25'!J222+'DOE25'!J240</f>
        <v>0</v>
      </c>
      <c r="G8" s="53">
        <f>'DOE25'!K204+'DOE25'!K222+'DOE25'!K240</f>
        <v>11033.07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19720.66</v>
      </c>
      <c r="D9" s="244">
        <v>19720.66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19597.099999999999</v>
      </c>
      <c r="D10" s="243"/>
      <c r="E10" s="244">
        <v>19597.099999999999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431517.71</v>
      </c>
      <c r="D11" s="244">
        <v>431517.71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2877000.99</v>
      </c>
      <c r="D12" s="20">
        <f>'DOE25'!L205+'DOE25'!L223+'DOE25'!L241-F12-G12</f>
        <v>2869844.99</v>
      </c>
      <c r="E12" s="243"/>
      <c r="F12" s="255">
        <f>'DOE25'!J205+'DOE25'!J223+'DOE25'!J241</f>
        <v>0</v>
      </c>
      <c r="G12" s="53">
        <f>'DOE25'!K205+'DOE25'!K223+'DOE25'!K241</f>
        <v>7156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473410.98</v>
      </c>
      <c r="D13" s="243"/>
      <c r="E13" s="20">
        <f>'DOE25'!L206+'DOE25'!L224+'DOE25'!L242-F13-G13</f>
        <v>473410.98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4311475.3100000005</v>
      </c>
      <c r="D14" s="20">
        <f>'DOE25'!L207+'DOE25'!L225+'DOE25'!L243-F14-G14</f>
        <v>4276571.8800000008</v>
      </c>
      <c r="E14" s="243"/>
      <c r="F14" s="255">
        <f>'DOE25'!J207+'DOE25'!J225+'DOE25'!J243</f>
        <v>34903.43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2613211.66</v>
      </c>
      <c r="D15" s="20">
        <f>'DOE25'!L208+'DOE25'!L226+'DOE25'!L244-F15-G15</f>
        <v>2613211.66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289476.33999999997</v>
      </c>
      <c r="D16" s="243"/>
      <c r="E16" s="20">
        <f>'DOE25'!L209+'DOE25'!L227+'DOE25'!L245-F16-G16</f>
        <v>289476.33999999997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214676.84999999998</v>
      </c>
      <c r="D17" s="20">
        <f>'DOE25'!L251-F17-G17</f>
        <v>214676.84999999998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656475.85</v>
      </c>
      <c r="D22" s="243"/>
      <c r="E22" s="243"/>
      <c r="F22" s="255">
        <f>'DOE25'!L255+'DOE25'!L336</f>
        <v>656475.85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2410949.67</v>
      </c>
      <c r="D25" s="243"/>
      <c r="E25" s="243"/>
      <c r="F25" s="258"/>
      <c r="G25" s="256"/>
      <c r="H25" s="257">
        <f>'DOE25'!L260+'DOE25'!L261+'DOE25'!L341+'DOE25'!L342</f>
        <v>2410949.67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942336.85999999987</v>
      </c>
      <c r="D29" s="20">
        <f>'DOE25'!L358+'DOE25'!L359+'DOE25'!L360-'DOE25'!I367-F29-G29</f>
        <v>934413.87999999989</v>
      </c>
      <c r="E29" s="243"/>
      <c r="F29" s="255">
        <f>'DOE25'!J358+'DOE25'!J359+'DOE25'!J360</f>
        <v>7922.98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1798615.7899999998</v>
      </c>
      <c r="D31" s="20">
        <f>'DOE25'!L290+'DOE25'!L309+'DOE25'!L328+'DOE25'!L333+'DOE25'!L334+'DOE25'!L335-F31-G31</f>
        <v>1675534.93</v>
      </c>
      <c r="E31" s="243"/>
      <c r="F31" s="255">
        <f>'DOE25'!J290+'DOE25'!J309+'DOE25'!J328+'DOE25'!J333+'DOE25'!J334+'DOE25'!J335</f>
        <v>116942.15</v>
      </c>
      <c r="G31" s="53">
        <f>'DOE25'!K290+'DOE25'!K309+'DOE25'!K328+'DOE25'!K333+'DOE25'!K334+'DOE25'!K335</f>
        <v>6138.71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55418303.889999993</v>
      </c>
      <c r="E33" s="246">
        <f>SUM(E5:E31)</f>
        <v>1203161.3799999999</v>
      </c>
      <c r="F33" s="246">
        <f>SUM(F5:F31)</f>
        <v>1329868.23</v>
      </c>
      <c r="G33" s="246">
        <f>SUM(G5:G31)</f>
        <v>44297.62</v>
      </c>
      <c r="H33" s="246">
        <f>SUM(H5:H31)</f>
        <v>2410949.67</v>
      </c>
    </row>
    <row r="35" spans="2:8" ht="12" thickBot="1" x14ac:dyDescent="0.25">
      <c r="B35" s="253" t="s">
        <v>847</v>
      </c>
      <c r="D35" s="254">
        <f>E33</f>
        <v>1203161.3799999999</v>
      </c>
      <c r="E35" s="249"/>
    </row>
    <row r="36" spans="2:8" ht="12" thickTop="1" x14ac:dyDescent="0.2">
      <c r="B36" t="s">
        <v>815</v>
      </c>
      <c r="D36" s="20">
        <f>D33</f>
        <v>55418303.889999993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84" activePane="bottomLeft" state="frozen"/>
      <selection activeCell="F46" sqref="F46"/>
      <selection pane="bottomLeft" activeCell="D160" sqref="D16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Salem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1900105.54</v>
      </c>
      <c r="D8" s="95">
        <f>'DOE25'!G9</f>
        <v>519693.99</v>
      </c>
      <c r="E8" s="95">
        <f>'DOE25'!H9</f>
        <v>0</v>
      </c>
      <c r="F8" s="95">
        <f>'DOE25'!I9</f>
        <v>6123398.2599999998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134044.47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330210.32</v>
      </c>
      <c r="D11" s="95">
        <f>'DOE25'!G12</f>
        <v>0</v>
      </c>
      <c r="E11" s="95">
        <f>'DOE25'!H12</f>
        <v>140123.62</v>
      </c>
      <c r="F11" s="95">
        <f>'DOE25'!I12</f>
        <v>0</v>
      </c>
      <c r="G11" s="95">
        <f>'DOE25'!J12</f>
        <v>14335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85480.320000000007</v>
      </c>
      <c r="D12" s="95">
        <f>'DOE25'!G13</f>
        <v>29578.92</v>
      </c>
      <c r="E12" s="95">
        <f>'DOE25'!H13</f>
        <v>208878.94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6913.6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2322709.7799999998</v>
      </c>
      <c r="D18" s="41">
        <f>SUM(D8:D17)</f>
        <v>549272.91</v>
      </c>
      <c r="E18" s="41">
        <f>SUM(E8:E17)</f>
        <v>349002.56</v>
      </c>
      <c r="F18" s="41">
        <f>SUM(F8:F17)</f>
        <v>6123398.2599999998</v>
      </c>
      <c r="G18" s="41">
        <f>SUM(G8:G17)</f>
        <v>148379.47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306330.21000000002</v>
      </c>
      <c r="E21" s="95">
        <f>'DOE25'!H22</f>
        <v>164003.73000000001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174277.98</v>
      </c>
      <c r="D23" s="95">
        <f>'DOE25'!G24</f>
        <v>6842.43</v>
      </c>
      <c r="E23" s="95">
        <f>'DOE25'!H24</f>
        <v>458.7</v>
      </c>
      <c r="F23" s="95">
        <f>'DOE25'!I24</f>
        <v>854798.37000000011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131101.31</v>
      </c>
      <c r="D28" s="95">
        <f>'DOE25'!G29</f>
        <v>2006.86</v>
      </c>
      <c r="E28" s="95">
        <f>'DOE25'!H29</f>
        <v>11698.26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305379.29000000004</v>
      </c>
      <c r="D31" s="41">
        <f>SUM(D21:D30)</f>
        <v>315179.5</v>
      </c>
      <c r="E31" s="41">
        <f>SUM(E21:E30)</f>
        <v>176160.69000000003</v>
      </c>
      <c r="F31" s="41">
        <f>SUM(F21:F30)</f>
        <v>854798.37000000011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154943.93</v>
      </c>
      <c r="D47" s="95">
        <f>'DOE25'!G48</f>
        <v>234093.41</v>
      </c>
      <c r="E47" s="95">
        <f>'DOE25'!H48</f>
        <v>172841.87</v>
      </c>
      <c r="F47" s="95">
        <f>'DOE25'!I48</f>
        <v>4938819.2699999996</v>
      </c>
      <c r="G47" s="95">
        <f>'DOE25'!J48</f>
        <v>148379.47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498970.51999999996</v>
      </c>
      <c r="D48" s="95">
        <f>'DOE25'!G49</f>
        <v>0</v>
      </c>
      <c r="E48" s="95">
        <f>'DOE25'!H49</f>
        <v>0</v>
      </c>
      <c r="F48" s="95">
        <f>'DOE25'!I49</f>
        <v>329780.62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1363416.0399999998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2017330.4899999998</v>
      </c>
      <c r="D50" s="41">
        <f>SUM(D34:D49)</f>
        <v>234093.41</v>
      </c>
      <c r="E50" s="41">
        <f>SUM(E34:E49)</f>
        <v>172841.87</v>
      </c>
      <c r="F50" s="41">
        <f>SUM(F34:F49)</f>
        <v>5268599.8899999997</v>
      </c>
      <c r="G50" s="41">
        <f>SUM(G34:G49)</f>
        <v>148379.47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2322709.7799999998</v>
      </c>
      <c r="D51" s="41">
        <f>D50+D31</f>
        <v>549272.91</v>
      </c>
      <c r="E51" s="41">
        <f>E50+E31</f>
        <v>349002.56000000006</v>
      </c>
      <c r="F51" s="41">
        <f>F50+F31</f>
        <v>6123398.2599999998</v>
      </c>
      <c r="G51" s="41">
        <f>G50+G31</f>
        <v>148379.47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38501251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545608.29999999993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2272.56</v>
      </c>
      <c r="G59" s="95">
        <f>'DOE25'!J96</f>
        <v>13.37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1107499.02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1000789.24</v>
      </c>
      <c r="D61" s="95">
        <f>SUM('DOE25'!G98:G110)</f>
        <v>0</v>
      </c>
      <c r="E61" s="95">
        <f>SUM('DOE25'!H98:H110)</f>
        <v>21791.26</v>
      </c>
      <c r="F61" s="95">
        <f>SUM('DOE25'!I98:I110)</f>
        <v>0</v>
      </c>
      <c r="G61" s="95">
        <f>SUM('DOE25'!J98:J110)</f>
        <v>14335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1546397.54</v>
      </c>
      <c r="D62" s="130">
        <f>SUM(D57:D61)</f>
        <v>1107499.02</v>
      </c>
      <c r="E62" s="130">
        <f>SUM(E57:E61)</f>
        <v>21791.26</v>
      </c>
      <c r="F62" s="130">
        <f>SUM(F57:F61)</f>
        <v>2272.56</v>
      </c>
      <c r="G62" s="130">
        <f>SUM(G57:G61)</f>
        <v>14348.37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40047648.539999999</v>
      </c>
      <c r="D63" s="22">
        <f>D56+D62</f>
        <v>1107499.02</v>
      </c>
      <c r="E63" s="22">
        <f>E56+E62</f>
        <v>21791.26</v>
      </c>
      <c r="F63" s="22">
        <f>F56+F62</f>
        <v>2272.56</v>
      </c>
      <c r="G63" s="22">
        <f>G56+G62</f>
        <v>14348.37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5742709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9188952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14931661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521714.1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991806.37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268960.84999999998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16465.55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1782481.3199999998</v>
      </c>
      <c r="D78" s="130">
        <f>SUM(D72:D77)</f>
        <v>16465.55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2320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16716462.32</v>
      </c>
      <c r="D81" s="130">
        <f>SUM(D79:D80)+D78+D70</f>
        <v>16465.55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58822.52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564337.75</v>
      </c>
      <c r="D88" s="95">
        <f>SUM('DOE25'!G153:G161)</f>
        <v>414394.95</v>
      </c>
      <c r="E88" s="95">
        <f>SUM('DOE25'!H153:H161)</f>
        <v>1765204.19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623160.27</v>
      </c>
      <c r="D91" s="131">
        <f>SUM(D85:D90)</f>
        <v>414394.95</v>
      </c>
      <c r="E91" s="131">
        <f>SUM(E85:E90)</f>
        <v>1765204.19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16205153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16303.33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16303.33</v>
      </c>
      <c r="D103" s="86">
        <f>SUM(D93:D102)</f>
        <v>0</v>
      </c>
      <c r="E103" s="86">
        <f>SUM(E93:E102)</f>
        <v>0</v>
      </c>
      <c r="F103" s="86">
        <f>SUM(F93:F102)</f>
        <v>16205153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57403574.460000001</v>
      </c>
      <c r="D104" s="86">
        <f>D63+D81+D91+D103</f>
        <v>1538359.52</v>
      </c>
      <c r="E104" s="86">
        <f>E63+E81+E91+E103</f>
        <v>1786995.45</v>
      </c>
      <c r="F104" s="86">
        <f>F63+F81+F91+F103</f>
        <v>16207425.560000001</v>
      </c>
      <c r="G104" s="86">
        <f>G63+G81+G103</f>
        <v>14348.37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24590090.469999999</v>
      </c>
      <c r="D109" s="24" t="s">
        <v>289</v>
      </c>
      <c r="E109" s="95">
        <f>('DOE25'!L276)+('DOE25'!L295)+('DOE25'!L314)</f>
        <v>16809.39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9407853.8499999996</v>
      </c>
      <c r="D110" s="24" t="s">
        <v>289</v>
      </c>
      <c r="E110" s="95">
        <f>('DOE25'!L277)+('DOE25'!L296)+('DOE25'!L315)</f>
        <v>980372.34000000008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1650560.28</v>
      </c>
      <c r="D111" s="24" t="s">
        <v>289</v>
      </c>
      <c r="E111" s="95">
        <f>('DOE25'!L278)+('DOE25'!L297)+('DOE25'!L316)</f>
        <v>114046.61000000002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859765.86</v>
      </c>
      <c r="D112" s="24" t="s">
        <v>289</v>
      </c>
      <c r="E112" s="95">
        <f>+('DOE25'!L279)+('DOE25'!L298)+('DOE25'!L317)</f>
        <v>1376.72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214676.84999999998</v>
      </c>
      <c r="D114" s="24" t="s">
        <v>289</v>
      </c>
      <c r="E114" s="95">
        <f>+ SUM('DOE25'!L333:L335)</f>
        <v>158482.33000000002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36722947.310000002</v>
      </c>
      <c r="D115" s="86">
        <f>SUM(D109:D114)</f>
        <v>0</v>
      </c>
      <c r="E115" s="86">
        <f>SUM(E109:E114)</f>
        <v>1271087.3900000001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4355781.790000001</v>
      </c>
      <c r="D118" s="24" t="s">
        <v>289</v>
      </c>
      <c r="E118" s="95">
        <f>+('DOE25'!L281)+('DOE25'!L300)+('DOE25'!L319)</f>
        <v>237714.83000000002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2052352.74</v>
      </c>
      <c r="D119" s="24" t="s">
        <v>289</v>
      </c>
      <c r="E119" s="95">
        <f>+('DOE25'!L282)+('DOE25'!L301)+('DOE25'!L320)</f>
        <v>251197.13999999998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882948.4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2877000.99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473410.98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4311475.3100000005</v>
      </c>
      <c r="D123" s="24" t="s">
        <v>289</v>
      </c>
      <c r="E123" s="95">
        <f>+('DOE25'!L286)+('DOE25'!L305)+('DOE25'!L324)</f>
        <v>24998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2613211.66</v>
      </c>
      <c r="D124" s="24" t="s">
        <v>289</v>
      </c>
      <c r="E124" s="95">
        <f>+('DOE25'!L287)+('DOE25'!L306)+('DOE25'!L325)</f>
        <v>13618.43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289476.33999999997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1630745.66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17855658.210000005</v>
      </c>
      <c r="D128" s="86">
        <f>SUM(D118:D127)</f>
        <v>1630745.66</v>
      </c>
      <c r="E128" s="86">
        <f>SUM(E118:E127)</f>
        <v>527528.4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656475.85</v>
      </c>
      <c r="D130" s="24" t="s">
        <v>289</v>
      </c>
      <c r="E130" s="129">
        <f>'DOE25'!L336</f>
        <v>0</v>
      </c>
      <c r="F130" s="129">
        <f>SUM('DOE25'!L374:'DOE25'!L380)</f>
        <v>10980311.640000001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775949.67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16303.33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2.94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14345.43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-14348.37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3067425.52</v>
      </c>
      <c r="D144" s="141">
        <f>SUM(D130:D143)</f>
        <v>0</v>
      </c>
      <c r="E144" s="141">
        <f>SUM(E130:E143)</f>
        <v>16303.33</v>
      </c>
      <c r="F144" s="141">
        <f>SUM(F130:F143)</f>
        <v>10980311.640000001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57646031.040000014</v>
      </c>
      <c r="D145" s="86">
        <f>(D115+D128+D144)</f>
        <v>1630745.66</v>
      </c>
      <c r="E145" s="86">
        <f>(E115+E128+E144)</f>
        <v>1814919.12</v>
      </c>
      <c r="F145" s="86">
        <f>(F115+F128+F144)</f>
        <v>10980311.640000001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16</v>
      </c>
      <c r="D151" s="153">
        <f>'DOE25'!H490</f>
        <v>16</v>
      </c>
      <c r="E151" s="153">
        <f>'DOE25'!I490</f>
        <v>20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7/95</v>
      </c>
      <c r="C152" s="152" t="str">
        <f>'DOE25'!G491</f>
        <v>6/10</v>
      </c>
      <c r="D152" s="152" t="str">
        <f>'DOE25'!H491</f>
        <v>6/10</v>
      </c>
      <c r="E152" s="152" t="str">
        <f>'DOE25'!I491</f>
        <v>7/13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8/15</v>
      </c>
      <c r="C153" s="152" t="str">
        <f>'DOE25'!G492</f>
        <v>9/26</v>
      </c>
      <c r="D153" s="152" t="str">
        <f>'DOE25'!H492</f>
        <v>10/26</v>
      </c>
      <c r="E153" s="152" t="str">
        <f>'DOE25'!I492</f>
        <v>8/33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5704170</v>
      </c>
      <c r="C154" s="137">
        <f>'DOE25'!G493</f>
        <v>14506160</v>
      </c>
      <c r="D154" s="137">
        <f>'DOE25'!H493</f>
        <v>7493840</v>
      </c>
      <c r="E154" s="137">
        <f>'DOE25'!I493</f>
        <v>16205153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5.25</v>
      </c>
      <c r="C155" s="137" t="str">
        <f>'DOE25'!G494</f>
        <v>QSCB</v>
      </c>
      <c r="D155" s="137">
        <f>'DOE25'!H494</f>
        <v>3.51</v>
      </c>
      <c r="E155" s="137">
        <f>'DOE25'!I494</f>
        <v>3.5828000000000002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855000</v>
      </c>
      <c r="C156" s="137">
        <f>'DOE25'!G495</f>
        <v>12685000</v>
      </c>
      <c r="D156" s="137">
        <f>'DOE25'!H495</f>
        <v>6110000</v>
      </c>
      <c r="E156" s="137">
        <f>'DOE25'!I495</f>
        <v>16205153</v>
      </c>
      <c r="F156" s="137">
        <f>'DOE25'!J495</f>
        <v>0</v>
      </c>
      <c r="G156" s="138">
        <f>SUM(B156:F156)</f>
        <v>35855153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285000</v>
      </c>
      <c r="C158" s="137">
        <f>'DOE25'!G497</f>
        <v>910000</v>
      </c>
      <c r="D158" s="137">
        <f>'DOE25'!H497</f>
        <v>440000</v>
      </c>
      <c r="E158" s="137">
        <f>'DOE25'!I497</f>
        <v>0</v>
      </c>
      <c r="F158" s="137">
        <f>'DOE25'!J497</f>
        <v>0</v>
      </c>
      <c r="G158" s="138">
        <f t="shared" si="0"/>
        <v>1635000</v>
      </c>
    </row>
    <row r="159" spans="1:9" x14ac:dyDescent="0.2">
      <c r="A159" s="22" t="s">
        <v>35</v>
      </c>
      <c r="B159" s="137">
        <f>'DOE25'!F498</f>
        <v>570000</v>
      </c>
      <c r="C159" s="137">
        <f>'DOE25'!G498</f>
        <v>11775000</v>
      </c>
      <c r="D159" s="137">
        <f>'DOE25'!H498</f>
        <v>5670000</v>
      </c>
      <c r="E159" s="137">
        <f>'DOE25'!I498</f>
        <v>16205153</v>
      </c>
      <c r="F159" s="137">
        <f>'DOE25'!J498</f>
        <v>0</v>
      </c>
      <c r="G159" s="138">
        <f t="shared" si="0"/>
        <v>34220153</v>
      </c>
    </row>
    <row r="160" spans="1:9" x14ac:dyDescent="0.2">
      <c r="A160" s="22" t="s">
        <v>36</v>
      </c>
      <c r="B160" s="137">
        <f>'DOE25'!F499</f>
        <v>32062.509999999995</v>
      </c>
      <c r="C160" s="137">
        <f>'DOE25'!G499</f>
        <v>4122406.75</v>
      </c>
      <c r="D160" s="137">
        <f>'DOE25'!H499</f>
        <v>1748856.25</v>
      </c>
      <c r="E160" s="137">
        <f>'DOE25'!I499</f>
        <v>7283348.0999999996</v>
      </c>
      <c r="F160" s="137">
        <f>'DOE25'!J499</f>
        <v>0</v>
      </c>
      <c r="G160" s="138">
        <f t="shared" si="0"/>
        <v>13186673.609999999</v>
      </c>
    </row>
    <row r="161" spans="1:7" x14ac:dyDescent="0.2">
      <c r="A161" s="22" t="s">
        <v>37</v>
      </c>
      <c r="B161" s="137">
        <f>'DOE25'!F500</f>
        <v>602062.51</v>
      </c>
      <c r="C161" s="137">
        <f>'DOE25'!G500</f>
        <v>15897406.75</v>
      </c>
      <c r="D161" s="137">
        <f>'DOE25'!H500</f>
        <v>7418856.25</v>
      </c>
      <c r="E161" s="137">
        <f>'DOE25'!I500</f>
        <v>23488501.100000001</v>
      </c>
      <c r="F161" s="137">
        <f>'DOE25'!J500</f>
        <v>0</v>
      </c>
      <c r="G161" s="138">
        <f t="shared" si="0"/>
        <v>47406826.609999999</v>
      </c>
    </row>
    <row r="162" spans="1:7" x14ac:dyDescent="0.2">
      <c r="A162" s="22" t="s">
        <v>38</v>
      </c>
      <c r="B162" s="137">
        <f>'DOE25'!F501</f>
        <v>285000</v>
      </c>
      <c r="C162" s="137">
        <f>'DOE25'!G501</f>
        <v>910000</v>
      </c>
      <c r="D162" s="137">
        <f>'DOE25'!H501</f>
        <v>440000</v>
      </c>
      <c r="E162" s="137">
        <f>'DOE25'!I501</f>
        <v>731200</v>
      </c>
      <c r="F162" s="137">
        <f>'DOE25'!J501</f>
        <v>0</v>
      </c>
      <c r="G162" s="138">
        <f t="shared" si="0"/>
        <v>2366200</v>
      </c>
    </row>
    <row r="163" spans="1:7" x14ac:dyDescent="0.2">
      <c r="A163" s="22" t="s">
        <v>39</v>
      </c>
      <c r="B163" s="137">
        <f>'DOE25'!F502</f>
        <v>24046.880000000001</v>
      </c>
      <c r="C163" s="137">
        <f>'DOE25'!G502</f>
        <v>610148</v>
      </c>
      <c r="D163" s="137">
        <f>'DOE25'!H502</f>
        <v>242912.5</v>
      </c>
      <c r="E163" s="137">
        <f>'DOE25'!I502</f>
        <v>720740.6</v>
      </c>
      <c r="F163" s="137">
        <f>'DOE25'!J502</f>
        <v>0</v>
      </c>
      <c r="G163" s="138">
        <f t="shared" si="0"/>
        <v>1597847.98</v>
      </c>
    </row>
    <row r="164" spans="1:7" x14ac:dyDescent="0.2">
      <c r="A164" s="22" t="s">
        <v>246</v>
      </c>
      <c r="B164" s="137">
        <f>'DOE25'!F503</f>
        <v>309046.88</v>
      </c>
      <c r="C164" s="137">
        <f>'DOE25'!G503</f>
        <v>1520148</v>
      </c>
      <c r="D164" s="137">
        <f>'DOE25'!H503</f>
        <v>682912.5</v>
      </c>
      <c r="E164" s="137">
        <f>'DOE25'!I503</f>
        <v>1451940.6</v>
      </c>
      <c r="F164" s="137">
        <f>'DOE25'!J503</f>
        <v>0</v>
      </c>
      <c r="G164" s="138">
        <f t="shared" si="0"/>
        <v>3964047.98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9" workbookViewId="0">
      <selection activeCell="D16" sqref="D1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Salem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13600</v>
      </c>
    </row>
    <row r="5" spans="1:4" x14ac:dyDescent="0.2">
      <c r="B5" t="s">
        <v>704</v>
      </c>
      <c r="C5" s="179">
        <f>IF('DOE25'!G665+'DOE25'!G670=0,0,ROUND('DOE25'!G672,0))</f>
        <v>11706</v>
      </c>
    </row>
    <row r="6" spans="1:4" x14ac:dyDescent="0.2">
      <c r="B6" t="s">
        <v>62</v>
      </c>
      <c r="C6" s="179">
        <f>IF('DOE25'!H665+'DOE25'!H670=0,0,ROUND('DOE25'!H672,0))</f>
        <v>14023</v>
      </c>
    </row>
    <row r="7" spans="1:4" x14ac:dyDescent="0.2">
      <c r="B7" t="s">
        <v>705</v>
      </c>
      <c r="C7" s="179">
        <f>IF('DOE25'!I665+'DOE25'!I670=0,0,ROUND('DOE25'!I672,0))</f>
        <v>13301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24606900</v>
      </c>
      <c r="D10" s="182">
        <f>ROUND((C10/$C$28)*100,1)</f>
        <v>42.7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10388226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1764607</v>
      </c>
      <c r="D12" s="182">
        <f>ROUND((C12/$C$28)*100,1)</f>
        <v>3.1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861143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4593497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2303550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1172425</v>
      </c>
      <c r="D17" s="182">
        <f t="shared" si="0"/>
        <v>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2877001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473411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4336473</v>
      </c>
      <c r="D20" s="182">
        <f t="shared" si="0"/>
        <v>7.5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2626830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373159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ROUND('DOE25'!L261+'DOE25'!L342,0)</f>
        <v>775950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523246.98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57676418.979999997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11636787</v>
      </c>
    </row>
    <row r="30" spans="1:4" x14ac:dyDescent="0.2">
      <c r="B30" s="187" t="s">
        <v>729</v>
      </c>
      <c r="C30" s="180">
        <f>SUM(C28:C29)</f>
        <v>69313205.979999989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1635000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38501251</v>
      </c>
      <c r="D35" s="182">
        <f t="shared" ref="D35:D40" si="1">ROUND((C35/$C$41)*100,1)</f>
        <v>64.599999999999994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1584809.7299999967</v>
      </c>
      <c r="D36" s="182">
        <f t="shared" si="1"/>
        <v>2.7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14931661</v>
      </c>
      <c r="D37" s="182">
        <f t="shared" si="1"/>
        <v>25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1801267</v>
      </c>
      <c r="D38" s="182">
        <f t="shared" si="1"/>
        <v>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2802759</v>
      </c>
      <c r="D39" s="182">
        <f t="shared" si="1"/>
        <v>4.7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59621747.729999997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16205153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Salem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 t="s">
        <v>919</v>
      </c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2014-09-16T17:21:51Z</cp:lastPrinted>
  <dcterms:created xsi:type="dcterms:W3CDTF">1997-12-04T19:04:30Z</dcterms:created>
  <dcterms:modified xsi:type="dcterms:W3CDTF">2014-12-05T17:38:36Z</dcterms:modified>
</cp:coreProperties>
</file>