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2" i="12" l="1"/>
  <c r="B12" i="12"/>
  <c r="G243" i="1"/>
  <c r="G241" i="1"/>
  <c r="F241" i="1"/>
  <c r="F223" i="1"/>
  <c r="G223" i="1"/>
  <c r="G222" i="1"/>
  <c r="F222" i="1"/>
  <c r="G205" i="1"/>
  <c r="F205" i="1"/>
  <c r="F243" i="1"/>
  <c r="G225" i="1"/>
  <c r="F225" i="1"/>
  <c r="G207" i="1"/>
  <c r="F207" i="1"/>
  <c r="F28" i="1"/>
  <c r="G240" i="1"/>
  <c r="F240" i="1"/>
  <c r="G204" i="1"/>
  <c r="F204" i="1"/>
  <c r="G233" i="1"/>
  <c r="F233" i="1"/>
  <c r="G215" i="1"/>
  <c r="F215" i="1"/>
  <c r="G197" i="1"/>
  <c r="F197" i="1"/>
  <c r="G507" i="1"/>
  <c r="H514" i="1" l="1"/>
  <c r="H513" i="1"/>
  <c r="C37" i="12" l="1"/>
  <c r="C39" i="12"/>
  <c r="B39" i="12"/>
  <c r="G526" i="1"/>
  <c r="F526" i="1"/>
  <c r="H543" i="1"/>
  <c r="H542" i="1"/>
  <c r="H541" i="1"/>
  <c r="I521" i="1"/>
  <c r="G613" i="1"/>
  <c r="F613" i="1"/>
  <c r="H512" i="1"/>
  <c r="F514" i="1"/>
  <c r="F513" i="1"/>
  <c r="F512" i="1"/>
  <c r="F511" i="1"/>
  <c r="I591" i="1" l="1"/>
  <c r="H591" i="1"/>
  <c r="J595" i="1"/>
  <c r="I594" i="1"/>
  <c r="I592" i="1"/>
  <c r="H592" i="1"/>
  <c r="J593" i="1"/>
  <c r="J591" i="1"/>
  <c r="F582" i="1"/>
  <c r="H582" i="1"/>
  <c r="H580" i="1"/>
  <c r="H576" i="1"/>
  <c r="H579" i="1"/>
  <c r="H575" i="1"/>
  <c r="F580" i="1"/>
  <c r="J604" i="1"/>
  <c r="I604" i="1"/>
  <c r="H604" i="1"/>
  <c r="H465" i="1"/>
  <c r="H324" i="1"/>
  <c r="J324" i="1"/>
  <c r="J305" i="1"/>
  <c r="H305" i="1"/>
  <c r="J286" i="1"/>
  <c r="H286" i="1"/>
  <c r="F296" i="1"/>
  <c r="H295" i="1"/>
  <c r="G295" i="1"/>
  <c r="F295" i="1"/>
  <c r="H282" i="1"/>
  <c r="F281" i="1"/>
  <c r="I276" i="1"/>
  <c r="H276" i="1"/>
  <c r="G276" i="1"/>
  <c r="F276" i="1"/>
  <c r="H159" i="1"/>
  <c r="H155" i="1"/>
  <c r="H154" i="1"/>
  <c r="F499" i="1"/>
  <c r="F502" i="1"/>
  <c r="F501" i="1"/>
  <c r="F498" i="1"/>
  <c r="I233" i="1"/>
  <c r="I215" i="1"/>
  <c r="I197" i="1"/>
  <c r="H255" i="1"/>
  <c r="H243" i="1"/>
  <c r="J243" i="1"/>
  <c r="J207" i="1"/>
  <c r="J225" i="1"/>
  <c r="I243" i="1"/>
  <c r="H225" i="1"/>
  <c r="H207" i="1"/>
  <c r="H240" i="1"/>
  <c r="H204" i="1"/>
  <c r="H222" i="1"/>
  <c r="J197" i="1"/>
  <c r="H215" i="1"/>
  <c r="H233" i="1"/>
  <c r="J215" i="1"/>
  <c r="I225" i="1"/>
  <c r="I207" i="1"/>
  <c r="J242" i="1"/>
  <c r="J224" i="1"/>
  <c r="J206" i="1"/>
  <c r="I241" i="1"/>
  <c r="I221" i="1"/>
  <c r="I220" i="1"/>
  <c r="J236" i="1"/>
  <c r="J218" i="1"/>
  <c r="J198" i="1"/>
  <c r="I198" i="1"/>
  <c r="J234" i="1"/>
  <c r="J216" i="1"/>
  <c r="J233" i="1"/>
  <c r="H197" i="1"/>
  <c r="K233" i="1"/>
  <c r="K215" i="1"/>
  <c r="K197" i="1"/>
  <c r="H202" i="1"/>
  <c r="J96" i="1"/>
  <c r="F202" i="1" l="1"/>
  <c r="F665" i="1"/>
  <c r="G472" i="1"/>
  <c r="G468" i="1"/>
  <c r="J468" i="1"/>
  <c r="J465" i="1"/>
  <c r="G439" i="1"/>
  <c r="H368" i="1" l="1"/>
  <c r="G368" i="1"/>
  <c r="F368" i="1"/>
  <c r="F14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C13" i="10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C21" i="10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C25" i="10"/>
  <c r="L268" i="1"/>
  <c r="L269" i="1"/>
  <c r="C143" i="2" s="1"/>
  <c r="L349" i="1"/>
  <c r="L350" i="1"/>
  <c r="I665" i="1"/>
  <c r="I670" i="1"/>
  <c r="F661" i="1"/>
  <c r="H661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19" i="2"/>
  <c r="C120" i="2"/>
  <c r="E120" i="2"/>
  <c r="E121" i="2"/>
  <c r="C122" i="2"/>
  <c r="E122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F32" i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I257" i="1" s="1"/>
  <c r="I271" i="1" s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G470" i="1"/>
  <c r="I470" i="1"/>
  <c r="J470" i="1"/>
  <c r="G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20" i="1"/>
  <c r="G623" i="1"/>
  <c r="G624" i="1"/>
  <c r="G625" i="1"/>
  <c r="H628" i="1"/>
  <c r="H630" i="1"/>
  <c r="H631" i="1"/>
  <c r="G634" i="1"/>
  <c r="H634" i="1"/>
  <c r="J634" i="1" s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I662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I476" i="1"/>
  <c r="H625" i="1" s="1"/>
  <c r="J625" i="1" s="1"/>
  <c r="G476" i="1"/>
  <c r="H623" i="1" s="1"/>
  <c r="J623" i="1" s="1"/>
  <c r="G338" i="1"/>
  <c r="G352" i="1" s="1"/>
  <c r="F169" i="1"/>
  <c r="J140" i="1"/>
  <c r="I552" i="1"/>
  <c r="K549" i="1"/>
  <c r="G22" i="2"/>
  <c r="K598" i="1"/>
  <c r="G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H571" i="1"/>
  <c r="L560" i="1"/>
  <c r="J545" i="1"/>
  <c r="H338" i="1"/>
  <c r="H352" i="1" s="1"/>
  <c r="F338" i="1"/>
  <c r="F352" i="1" s="1"/>
  <c r="G192" i="1"/>
  <c r="H192" i="1"/>
  <c r="E16" i="13"/>
  <c r="C16" i="13" s="1"/>
  <c r="J655" i="1"/>
  <c r="J645" i="1"/>
  <c r="I571" i="1"/>
  <c r="I545" i="1"/>
  <c r="J636" i="1"/>
  <c r="G36" i="2"/>
  <c r="L565" i="1"/>
  <c r="G545" i="1"/>
  <c r="L545" i="1"/>
  <c r="H545" i="1"/>
  <c r="K551" i="1"/>
  <c r="C22" i="13"/>
  <c r="C138" i="2"/>
  <c r="C35" i="10" l="1"/>
  <c r="C121" i="2"/>
  <c r="F50" i="1"/>
  <c r="K550" i="1"/>
  <c r="K552" i="1" s="1"/>
  <c r="F552" i="1"/>
  <c r="L570" i="1"/>
  <c r="E123" i="2"/>
  <c r="E128" i="2" s="1"/>
  <c r="L309" i="1"/>
  <c r="E115" i="2"/>
  <c r="L328" i="1"/>
  <c r="C123" i="2"/>
  <c r="D14" i="13"/>
  <c r="C14" i="13" s="1"/>
  <c r="C18" i="10"/>
  <c r="C115" i="2"/>
  <c r="C10" i="10"/>
  <c r="D5" i="13"/>
  <c r="C5" i="13" s="1"/>
  <c r="G661" i="1"/>
  <c r="I661" i="1" s="1"/>
  <c r="C81" i="2"/>
  <c r="J257" i="1"/>
  <c r="J271" i="1" s="1"/>
  <c r="C19" i="10"/>
  <c r="L362" i="1"/>
  <c r="C27" i="10" s="1"/>
  <c r="K257" i="1"/>
  <c r="K271" i="1" s="1"/>
  <c r="C15" i="10"/>
  <c r="C62" i="2"/>
  <c r="C63" i="2" s="1"/>
  <c r="C17" i="10"/>
  <c r="C119" i="2"/>
  <c r="C16" i="10"/>
  <c r="E33" i="13"/>
  <c r="D35" i="13" s="1"/>
  <c r="D7" i="13"/>
  <c r="C7" i="13" s="1"/>
  <c r="J647" i="1"/>
  <c r="C20" i="10"/>
  <c r="L211" i="1"/>
  <c r="F660" i="1" s="1"/>
  <c r="F664" i="1" s="1"/>
  <c r="C131" i="2"/>
  <c r="H33" i="13"/>
  <c r="L229" i="1"/>
  <c r="L247" i="1"/>
  <c r="H660" i="1" s="1"/>
  <c r="H664" i="1" s="1"/>
  <c r="H257" i="1"/>
  <c r="H271" i="1" s="1"/>
  <c r="G257" i="1"/>
  <c r="G271" i="1" s="1"/>
  <c r="C11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E145" i="2"/>
  <c r="L338" i="1"/>
  <c r="L352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F193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E104" i="2"/>
  <c r="I663" i="1"/>
  <c r="G635" i="1"/>
  <c r="J635" i="1" s="1"/>
  <c r="C104" i="2" l="1"/>
  <c r="C128" i="2"/>
  <c r="F51" i="1"/>
  <c r="C49" i="2"/>
  <c r="C50" i="2" s="1"/>
  <c r="G633" i="1"/>
  <c r="H472" i="1"/>
  <c r="G629" i="1"/>
  <c r="H468" i="1"/>
  <c r="H648" i="1"/>
  <c r="J648" i="1" s="1"/>
  <c r="G627" i="1"/>
  <c r="F468" i="1"/>
  <c r="D31" i="13"/>
  <c r="C31" i="13" s="1"/>
  <c r="C28" i="10"/>
  <c r="D24" i="10" s="1"/>
  <c r="C145" i="2"/>
  <c r="H672" i="1"/>
  <c r="C6" i="10" s="1"/>
  <c r="H667" i="1"/>
  <c r="L257" i="1"/>
  <c r="L271" i="1" s="1"/>
  <c r="G660" i="1"/>
  <c r="G664" i="1" s="1"/>
  <c r="G667" i="1" s="1"/>
  <c r="F672" i="1"/>
  <c r="C4" i="10" s="1"/>
  <c r="F667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22" i="1" l="1"/>
  <c r="F52" i="1"/>
  <c r="H617" i="1" s="1"/>
  <c r="J617" i="1" s="1"/>
  <c r="H633" i="1"/>
  <c r="J633" i="1" s="1"/>
  <c r="H474" i="1"/>
  <c r="H470" i="1"/>
  <c r="H629" i="1"/>
  <c r="J629" i="1" s="1"/>
  <c r="D23" i="10"/>
  <c r="F470" i="1"/>
  <c r="H627" i="1"/>
  <c r="J627" i="1" s="1"/>
  <c r="G632" i="1"/>
  <c r="F472" i="1"/>
  <c r="D33" i="13"/>
  <c r="D36" i="13" s="1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I660" i="1"/>
  <c r="I664" i="1" s="1"/>
  <c r="I672" i="1" s="1"/>
  <c r="C7" i="10" s="1"/>
  <c r="G672" i="1"/>
  <c r="C5" i="10" s="1"/>
  <c r="C41" i="10"/>
  <c r="D38" i="10" s="1"/>
  <c r="H476" i="1" l="1"/>
  <c r="H624" i="1" s="1"/>
  <c r="J624" i="1" s="1"/>
  <c r="H632" i="1"/>
  <c r="J632" i="1" s="1"/>
  <c r="F474" i="1"/>
  <c r="F476" i="1" s="1"/>
  <c r="H622" i="1" s="1"/>
  <c r="J622" i="1" s="1"/>
  <c r="D28" i="10"/>
  <c r="I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<sst xmlns="http://schemas.openxmlformats.org/spreadsheetml/2006/main" count="3957" uniqueCount="914">
  <si>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</si>
  <si>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</si>
  <si>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</si>
  <si>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</si>
  <si>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</si>
  <si>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</si>
  <si>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</si>
  <si>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</si>
  <si>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</si>
  <si>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</si>
  <si>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</si>
  <si>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</si>
  <si>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</si>
  <si>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</si>
  <si>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</si>
  <si>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</si>
  <si>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</si>
  <si>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</si>
  <si>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</si>
  <si>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</si>
  <si>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</si>
  <si>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</si>
  <si>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</si>
  <si>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</si>
  <si>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</si>
  <si>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</si>
  <si>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</si>
  <si>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</si>
  <si>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</si>
  <si>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</si>
  <si>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</si>
  <si>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</si>
  <si>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</si>
  <si>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</si>
  <si>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</si>
  <si>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</si>
  <si>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</si>
  <si>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</si>
  <si>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</si>
  <si>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</si>
  <si>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</si>
  <si>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</si>
  <si>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</si>
  <si>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</si>
  <si>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</si>
  <si>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</si>
  <si>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</si>
  <si>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</si>
  <si>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</si>
  <si>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</si>
  <si>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</si>
  <si>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</si>
  <si>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</si>
  <si>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</si>
  <si>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</si>
  <si>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</si>
  <si>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</si>
  <si>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</si>
  <si>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</si>
  <si>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</si>
  <si>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</si>
  <si>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</si>
  <si>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</si>
  <si>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</si>
  <si>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</si>
  <si>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</si>
  <si>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</si>
  <si>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</si>
  <si>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</si>
  <si>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</si>
  <si>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</si>
  <si>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</si>
  <si>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</si>
  <si>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</si>
  <si>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</si>
  <si>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</si>
  <si>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</si>
  <si>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</si>
  <si>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</si>
  <si>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</si>
  <si>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</si>
  <si>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</si>
  <si>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</si>
  <si>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</si>
  <si>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</si>
  <si>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</si>
  <si>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</si>
  <si>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</si>
  <si>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</si>
  <si>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</si>
  <si>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</si>
  <si>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</si>
  <si>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</si>
  <si>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</si>
  <si>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</si>
  <si>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</si>
  <si>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</si>
  <si>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</si>
  <si>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</si>
  <si>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</si>
  <si>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</si>
  <si>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</si>
  <si>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</si>
  <si>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</si>
  <si>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</si>
  <si>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</si>
  <si>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</si>
  <si>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</si>
  <si>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</si>
  <si>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</si>
  <si>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</si>
  <si>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</si>
  <si>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</si>
  <si>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</si>
  <si>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</si>
  <si>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</si>
  <si>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</si>
  <si>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</si>
  <si>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</si>
  <si>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</si>
  <si>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</si>
  <si>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</si>
  <si>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</si>
  <si>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</si>
  <si>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</si>
  <si>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</si>
  <si>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</si>
  <si>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</si>
  <si>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</si>
  <si>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</si>
  <si>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</si>
  <si>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</si>
  <si>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</si>
  <si>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</si>
  <si>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</si>
  <si>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</si>
  <si>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</si>
  <si>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</si>
  <si>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</si>
  <si>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</si>
  <si>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</si>
  <si>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</si>
  <si>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</si>
  <si>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</si>
  <si>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</si>
  <si>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</si>
  <si>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</si>
  <si>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</si>
  <si>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</si>
  <si>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</si>
  <si>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</si>
  <si>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</si>
  <si>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</si>
  <si>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</si>
  <si>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</si>
  <si>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</si>
  <si>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</si>
  <si>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</si>
  <si>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</si>
  <si>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</si>
  <si>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</si>
  <si>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</si>
  <si>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</si>
  <si>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</si>
  <si>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</si>
  <si>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</si>
  <si>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</si>
  <si>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</si>
  <si>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</si>
  <si>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</si>
  <si>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</si>
  <si>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</si>
  <si>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</si>
  <si>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</si>
  <si>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</si>
  <si>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</si>
  <si>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</si>
  <si>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</si>
  <si>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</si>
  <si>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</si>
  <si>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</si>
  <si>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</si>
  <si>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</si>
  <si>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</si>
  <si>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</si>
  <si>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</si>
  <si>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</si>
  <si>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</si>
  <si>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</si>
  <si>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</si>
  <si>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</si>
  <si>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</si>
  <si>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</si>
  <si>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</si>
  <si>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</si>
  <si>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</si>
  <si>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</si>
  <si>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</si>
  <si>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</si>
  <si>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</si>
  <si>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</si>
  <si>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</si>
  <si>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</si>
  <si>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</si>
  <si>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</si>
  <si>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</si>
  <si>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</si>
  <si>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</si>
  <si>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</si>
  <si>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</si>
  <si>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</si>
  <si>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</si>
  <si>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</si>
  <si>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</si>
  <si>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</si>
  <si>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</si>
  <si>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</si>
  <si>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</si>
  <si>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</si>
  <si>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</si>
  <si>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</si>
  <si>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</si>
  <si>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</si>
  <si>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</si>
  <si>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</si>
  <si>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</si>
  <si>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</si>
  <si>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</si>
  <si>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</si>
  <si>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</si>
  <si>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</si>
  <si>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</si>
  <si>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</si>
  <si>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</si>
  <si>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</si>
  <si>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</si>
  <si>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</si>
  <si>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</si>
  <si>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</si>
  <si>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</si>
  <si>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</si>
  <si>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</si>
  <si>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</si>
  <si>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</si>
  <si>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</si>
  <si>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</si>
  <si>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</si>
  <si>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</si>
  <si>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</si>
  <si>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</si>
  <si>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</si>
  <si>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</si>
  <si>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</si>
  <si>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</si>
  <si>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</si>
  <si>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</si>
  <si>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</si>
  <si>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</si>
  <si>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</si>
  <si>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</si>
  <si>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</si>
  <si>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</si>
  <si>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</si>
  <si>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</si>
  <si>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</si>
  <si>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</si>
  <si>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</si>
  <si>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</si>
  <si>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</si>
  <si>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</si>
  <si>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</si>
  <si>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</si>
  <si>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</si>
  <si>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</si>
  <si>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</si>
  <si>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</si>
  <si>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</si>
  <si>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</si>
  <si>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</si>
  <si>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</si>
  <si>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</si>
  <si>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</si>
  <si>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</si>
  <si>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</si>
  <si>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</si>
  <si>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</si>
  <si>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</si>
  <si>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</si>
  <si>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</si>
  <si>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</si>
  <si>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</si>
  <si>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</si>
  <si>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</si>
  <si>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</si>
  <si>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</si>
  <si>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</si>
  <si>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</si>
  <si>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</si>
  <si>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</si>
  <si>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</si>
  <si>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</si>
  <si>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</si>
  <si>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</si>
  <si>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</si>
  <si>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</si>
  <si>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</si>
  <si>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</si>
  <si>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</si>
  <si>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</si>
  <si>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</si>
  <si>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</si>
  <si>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</si>
  <si>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</si>
  <si>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</si>
  <si>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</si>
  <si>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</si>
  <si>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</si>
  <si>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</si>
  <si>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</si>
  <si>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</si>
  <si>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</si>
  <si>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</si>
  <si>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</si>
  <si>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</si>
  <si>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</si>
  <si>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</si>
  <si>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</si>
  <si>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</si>
  <si>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</si>
  <si>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</si>
  <si>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</si>
  <si>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</si>
  <si>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</si>
  <si>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</si>
  <si>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</si>
  <si>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</si>
  <si>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</si>
  <si>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</si>
  <si>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</si>
  <si>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</si>
  <si>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</si>
  <si>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</si>
  <si>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</si>
  <si>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</si>
  <si>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</si>
  <si>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</si>
  <si>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</si>
  <si>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</si>
  <si>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</si>
  <si>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</si>
  <si>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</si>
  <si>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</si>
  <si>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</si>
  <si>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</si>
  <si>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</si>
  <si>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</si>
  <si>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</si>
  <si>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</si>
  <si>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</si>
  <si>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</si>
  <si>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</si>
  <si>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</si>
  <si>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</si>
  <si>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</si>
  <si>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</si>
  <si>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</si>
  <si>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</si>
  <si>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</si>
  <si>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</si>
  <si>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</si>
  <si>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</si>
  <si>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</si>
  <si>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</si>
  <si>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</si>
  <si>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</si>
  <si>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</si>
  <si>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</si>
  <si>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</si>
  <si>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</si>
  <si>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</si>
  <si>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</si>
  <si>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</si>
  <si>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</si>
  <si>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</si>
  <si>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</si>
  <si>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</si>
  <si>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</si>
  <si>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</si>
  <si>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</si>
  <si>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</si>
  <si>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</si>
  <si>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</si>
  <si>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</si>
  <si>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</si>
  <si>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</si>
  <si>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</si>
  <si>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</si>
  <si>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</si>
  <si>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</si>
  <si>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</si>
  <si>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</si>
  <si>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</si>
  <si>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</si>
  <si>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</si>
  <si>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</si>
  <si>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</si>
  <si>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</si>
  <si>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</si>
  <si>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</si>
  <si>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</si>
  <si>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</si>
  <si>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</si>
  <si>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</si>
  <si>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</si>
  <si>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</si>
  <si>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</si>
  <si>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</si>
  <si>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</si>
  <si>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</si>
  <si>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</si>
  <si>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</si>
  <si>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</si>
  <si>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</si>
  <si>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</si>
  <si>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</si>
  <si>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</si>
  <si>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</si>
  <si>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</si>
  <si>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</si>
  <si>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</si>
  <si>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</si>
  <si>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</si>
  <si>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</si>
  <si>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</si>
  <si>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</si>
  <si>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</si>
  <si>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</si>
  <si>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</si>
  <si>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</si>
  <si>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</si>
  <si>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</si>
  <si>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</si>
  <si>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</si>
  <si>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</si>
  <si>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</si>
  <si>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</si>
  <si>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</si>
  <si>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</si>
  <si>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</si>
  <si>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</si>
  <si>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</si>
  <si>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</si>
  <si>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</si>
  <si>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</si>
  <si>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</si>
  <si>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</si>
  <si>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</si>
  <si>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</si>
  <si>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</si>
  <si>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</si>
  <si>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</si>
  <si>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</si>
  <si>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</si>
  <si>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</si>
  <si>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</si>
  <si>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</si>
  <si>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</si>
  <si>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</si>
  <si>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</si>
  <si>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</si>
  <si>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</si>
  <si>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</si>
  <si>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</si>
  <si>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</si>
  <si>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</si>
  <si>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</si>
  <si>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</si>
  <si>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</si>
  <si>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</si>
  <si>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</si>
  <si>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</si>
  <si>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</si>
  <si>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</si>
  <si>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</si>
  <si>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</si>
  <si>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</si>
  <si>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</si>
  <si>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</si>
  <si>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</si>
  <si>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</si>
  <si>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</si>
  <si>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</si>
  <si>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</si>
  <si>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</si>
  <si>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</si>
  <si>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</si>
  <si>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</si>
  <si>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</si>
  <si>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</si>
  <si>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</si>
  <si>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</si>
  <si>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</si>
  <si>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</si>
  <si>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</si>
  <si>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</si>
  <si>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</si>
  <si>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</si>
  <si>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</si>
  <si>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</si>
  <si>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</si>
  <si>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</si>
  <si>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</si>
  <si>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</si>
  <si>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</si>
  <si>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</si>
  <si>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</si>
  <si>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</si>
  <si>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</si>
  <si>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</si>
  <si>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</si>
  <si>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</si>
  <si>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</si>
  <si>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</si>
  <si>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</si>
  <si>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</si>
  <si>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</si>
  <si>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</si>
  <si>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</si>
  <si>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</si>
  <si>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</si>
  <si>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</si>
  <si>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</si>
  <si>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</si>
  <si>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</si>
  <si>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</si>
  <si>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</si>
  <si>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</si>
  <si>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</si>
  <si>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</si>
  <si>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</si>
  <si>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</si>
  <si>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</si>
  <si>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</si>
  <si>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</si>
  <si>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</si>
  <si>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</si>
  <si>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</si>
  <si>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</si>
  <si>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</si>
  <si>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</si>
  <si>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</si>
  <si>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</si>
  <si>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</si>
  <si>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</si>
  <si>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</si>
  <si>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</si>
  <si>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</si>
  <si>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</si>
  <si>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</si>
  <si>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</si>
  <si>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</si>
  <si>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</si>
  <si>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</si>
  <si>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</si>
  <si>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</si>
  <si>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</si>
  <si>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</si>
  <si>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</si>
  <si>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</si>
  <si>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</si>
  <si>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</si>
  <si>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</si>
  <si>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</si>
  <si>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</si>
  <si>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</si>
  <si>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</si>
  <si>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</si>
  <si>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</si>
  <si>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</si>
  <si>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</si>
  <si>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</si>
  <si>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</si>
  <si>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</si>
  <si>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</si>
  <si>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</si>
  <si>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</si>
  <si>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</si>
  <si>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</si>
  <si>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</si>
  <si>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</si>
  <si>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</si>
  <si>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</si>
  <si>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</si>
  <si>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</si>
  <si>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</si>
  <si>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</si>
  <si>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</si>
  <si>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</si>
  <si>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</si>
  <si>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</si>
  <si>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</si>
  <si>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</si>
  <si>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</si>
  <si>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</si>
  <si>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</si>
  <si>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</si>
  <si>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</si>
  <si>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</si>
  <si>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</si>
  <si>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</si>
  <si>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</si>
  <si>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</si>
  <si>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</si>
  <si>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</si>
  <si>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</si>
  <si>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</si>
  <si>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</si>
  <si>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</si>
  <si>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</si>
  <si>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</si>
  <si>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</si>
  <si>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</si>
  <si>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</si>
  <si>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</si>
  <si>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</si>
  <si>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</si>
  <si>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</si>
  <si>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</si>
  <si>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</si>
  <si>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</si>
  <si>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</si>
  <si>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</si>
  <si>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</si>
  <si>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</si>
  <si>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</si>
  <si>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</si>
  <si>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</si>
  <si>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</si>
  <si>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</si>
  <si>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</si>
  <si>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</si>
  <si>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</si>
  <si>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</si>
  <si>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</si>
  <si>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</si>
  <si>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</si>
  <si>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</si>
  <si>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</si>
  <si>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</si>
  <si>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</si>
  <si>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</si>
  <si>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</si>
  <si>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</si>
  <si>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</si>
  <si>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</si>
  <si>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</si>
  <si>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</si>
  <si>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</si>
  <si>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</si>
  <si>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</si>
  <si>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</si>
  <si>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</si>
  <si>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</si>
  <si>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</si>
  <si>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</si>
  <si>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</si>
  <si>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</si>
  <si>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</si>
  <si>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</si>
  <si>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</si>
  <si>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</si>
  <si>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</si>
  <si>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</si>
  <si>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</si>
  <si>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</si>
  <si>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</si>
  <si>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</si>
  <si>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</si>
  <si>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</si>
  <si>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</si>
  <si>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</si>
  <si>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</si>
  <si>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</si>
  <si>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</si>
  <si>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</si>
  <si>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</si>
  <si>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</si>
  <si>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</si>
  <si>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</si>
  <si>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</si>
  <si>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</si>
  <si>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</si>
  <si>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</si>
  <si>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</si>
  <si>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</si>
  <si>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</si>
  <si>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</si>
  <si>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</si>
  <si>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</si>
  <si>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</si>
  <si>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</si>
  <si>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</si>
  <si>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</si>
  <si>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</si>
  <si>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</si>
  <si>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</si>
  <si>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</si>
  <si>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</si>
  <si>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</si>
  <si>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</si>
  <si>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</si>
  <si>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</si>
  <si>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</si>
  <si>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</si>
  <si>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</si>
  <si>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</si>
  <si>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</si>
  <si>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</si>
  <si>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</si>
  <si>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</si>
  <si>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</si>
  <si>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</si>
  <si>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</si>
  <si>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</si>
  <si>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</si>
  <si>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</si>
  <si>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</si>
  <si>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</si>
  <si>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</si>
  <si>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</si>
  <si>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</si>
  <si>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</si>
  <si>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</si>
  <si>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</si>
  <si>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</si>
  <si>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</si>
  <si>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</si>
  <si>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</si>
  <si>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</si>
  <si>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</si>
  <si>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</si>
  <si>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</si>
  <si>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</si>
  <si>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</si>
  <si>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</si>
  <si>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</si>
  <si>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</si>
  <si>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</si>
  <si>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</si>
  <si>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</si>
  <si>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</si>
  <si>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</si>
  <si>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</si>
  <si>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</si>
  <si>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</si>
  <si>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</si>
  <si>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</si>
  <si>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</si>
  <si>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</si>
  <si>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</si>
  <si>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</si>
  <si>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</si>
  <si>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</si>
  <si>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</si>
  <si>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</si>
  <si>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</si>
  <si>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</si>
  <si>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</si>
  <si>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</si>
  <si>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</si>
  <si>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</si>
  <si>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</si>
  <si>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</si>
  <si>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</si>
  <si>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</si>
  <si>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</si>
  <si>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</si>
  <si>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</si>
  <si>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</si>
  <si>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</si>
  <si>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</si>
  <si>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</si>
  <si>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</si>
  <si>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</si>
  <si>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</si>
  <si>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</si>
  <si>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</si>
  <si>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</si>
  <si>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</si>
  <si>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</si>
  <si>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</si>
  <si>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</si>
  <si>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</si>
  <si>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</si>
  <si>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</si>
  <si>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</si>
  <si>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</si>
  <si>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</si>
  <si>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</si>
  <si>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</si>
  <si>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</si>
  <si>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</si>
  <si>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</si>
  <si>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</si>
  <si>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</si>
  <si>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</si>
  <si>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</si>
  <si>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</si>
  <si>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</si>
  <si>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</si>
  <si>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</si>
  <si>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</si>
  <si>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</si>
  <si>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</si>
  <si>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</si>
  <si>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</si>
  <si>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</si>
  <si>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</si>
  <si>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</si>
  <si>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</si>
  <si>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</si>
  <si>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</si>
  <si>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</si>
  <si>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</si>
  <si>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</si>
  <si>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</si>
  <si>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</si>
  <si>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</si>
  <si>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</si>
  <si>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</si>
  <si>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</si>
  <si>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</si>
  <si>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</si>
  <si>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</si>
  <si>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</si>
  <si>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</si>
  <si>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</si>
  <si>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</si>
  <si>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</si>
  <si>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</si>
  <si>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</si>
  <si>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</si>
  <si>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</si>
  <si>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</si>
  <si>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</si>
  <si>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</si>
  <si>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</si>
  <si>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</si>
  <si>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</si>
  <si>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</si>
  <si>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</si>
  <si>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</si>
  <si>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</si>
  <si>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</si>
  <si>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</si>
  <si>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</si>
  <si>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</si>
  <si>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</si>
  <si>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</si>
  <si>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</si>
  <si>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</si>
  <si>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</si>
  <si>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</si>
  <si>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</si>
  <si>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</si>
  <si>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</si>
  <si>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</si>
  <si>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</si>
  <si>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</si>
  <si>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</si>
  <si>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</si>
  <si>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</si>
  <si>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</si>
  <si>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</si>
  <si>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</si>
  <si>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</si>
  <si>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</si>
  <si>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</si>
  <si>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</si>
  <si>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</si>
  <si>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</si>
  <si>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</si>
  <si>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</si>
  <si>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</si>
  <si>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</si>
  <si>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</si>
  <si>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</si>
  <si>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</si>
  <si>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</si>
  <si>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</si>
  <si>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</si>
  <si>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</si>
  <si>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</si>
  <si>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</si>
  <si>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</si>
  <si>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</si>
  <si>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</si>
  <si>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</si>
  <si>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</si>
  <si>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</si>
  <si>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</si>
  <si>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</si>
  <si>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</si>
  <si>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</si>
  <si>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</si>
  <si>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</si>
  <si>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</si>
  <si>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</si>
  <si>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</si>
  <si>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</si>
  <si>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</si>
  <si>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08/04</t>
  </si>
  <si>
    <t>08/24</t>
  </si>
  <si>
    <t>Sanborn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</si>
</sst>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#,##0.0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0" fillId="0" borderId="0" xfId="0" applyNumberFormat="1" applyFill="1" applyBorder="1" applyAlignment="1" applyProtection="1">
      <protection locked="0"/>
    </xf>
    <xf numFmtId="168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201584.99</v>
      </c>
      <c r="G9" s="18">
        <v>83405.62</v>
      </c>
      <c r="H9" s="18">
        <v>242990.41</v>
      </c>
      <c r="I9" s="18"/>
      <c r="J9" s="67">
        <f>SUM(I439)</f>
        <v>280517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100741.3</v>
      </c>
      <c r="G12" s="18">
        <v>5980.78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5645.71</v>
      </c>
      <c r="G13" s="18">
        <v>11487.71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894427.36-4957.01</f>
        <v>889470.35</v>
      </c>
      <c r="G14" s="18">
        <v>1611.25</v>
      </c>
      <c r="H14" s="18">
        <v>177993.2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21887.88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1219330.23</v>
      </c>
      <c r="G19" s="41">
        <f>SUM(G9:G18)</f>
        <v>102485.35999999999</v>
      </c>
      <c r="H19" s="41">
        <f>SUM(H9:H18)</f>
        <v>420983.61</v>
      </c>
      <c r="I19" s="41">
        <f>SUM(I9:I18)</f>
        <v>0</v>
      </c>
      <c r="J19" s="41">
        <f>SUM(J9:J18)</f>
        <v>280517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v>106722.08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227517.73</v>
      </c>
      <c r="G24" s="18">
        <v>64057.35</v>
      </c>
      <c r="H24" s="18">
        <v>856.38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11195.58+92120.01</f>
        <v>103315.59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10533.65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25271.57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356104.89</v>
      </c>
      <c r="G32" s="41">
        <f>SUM(G22:G31)</f>
        <v>74591</v>
      </c>
      <c r="H32" s="41">
        <f>SUM(H22:H31)</f>
        <v>107578.46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27894.36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0</v>
      </c>
      <c r="H43" s="18">
        <v>0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313405.15000000002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5491</v>
      </c>
      <c r="G48" s="18"/>
      <c r="H48" s="18"/>
      <c r="I48" s="18"/>
      <c r="J48" s="13">
        <f>SUM(I459)</f>
        <v>280517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272533.58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F19-F32-F48-F49</f>
        <v>585200.76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863225.34000000008</v>
      </c>
      <c r="G51" s="41">
        <f>SUM(G35:G50)</f>
        <v>27894.36</v>
      </c>
      <c r="H51" s="41">
        <f>SUM(H35:H50)</f>
        <v>313405.15000000002</v>
      </c>
      <c r="I51" s="41">
        <f>SUM(I35:I50)</f>
        <v>0</v>
      </c>
      <c r="J51" s="41">
        <f>SUM(J35:J50)</f>
        <v>280517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1219330.23</v>
      </c>
      <c r="G52" s="41">
        <f>G51+G32</f>
        <v>102485.36</v>
      </c>
      <c r="H52" s="41">
        <f>H51+H32</f>
        <v>420983.61000000004</v>
      </c>
      <c r="I52" s="41">
        <f>I51+I32</f>
        <v>0</v>
      </c>
      <c r="J52" s="41">
        <f>J51+J32</f>
        <v>280517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18976127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24327.14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19000454.140000001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27510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5125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443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3772626.44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3805704.44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3163.46</v>
      </c>
      <c r="G96" s="18">
        <v>2.25</v>
      </c>
      <c r="H96" s="18">
        <v>13.53</v>
      </c>
      <c r="I96" s="18"/>
      <c r="J96" s="18">
        <f>341+80</f>
        <v>421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451066.35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143727.43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500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44218.2</v>
      </c>
      <c r="G110" s="18">
        <v>10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47381.659999999996</v>
      </c>
      <c r="G111" s="41">
        <f>SUM(G96:G110)</f>
        <v>451078.6</v>
      </c>
      <c r="H111" s="41">
        <f>SUM(H96:H110)</f>
        <v>144240.95999999999</v>
      </c>
      <c r="I111" s="41">
        <f>SUM(I96:I110)</f>
        <v>0</v>
      </c>
      <c r="J111" s="41">
        <f>SUM(J96:J110)</f>
        <v>421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22853540.240000002</v>
      </c>
      <c r="G112" s="41">
        <f>G60+G111</f>
        <v>451078.6</v>
      </c>
      <c r="H112" s="41">
        <f>H60+H79+H94+H111</f>
        <v>144240.95999999999</v>
      </c>
      <c r="I112" s="41">
        <f>I60+I111</f>
        <v>0</v>
      </c>
      <c r="J112" s="41">
        <f>J60+J111</f>
        <v>421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3787410.87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2567313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4083.2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6358807.0700000003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724752.73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202224.3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28238.400000000001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7709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955215.43</v>
      </c>
      <c r="G136" s="41">
        <f>SUM(G123:G135)</f>
        <v>7709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7314022.5</v>
      </c>
      <c r="G140" s="41">
        <f>G121+SUM(G136:G137)</f>
        <v>7709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148416.96+791.38+662.74</f>
        <v>149871.07999999999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8227.84+995.29+16425.12+24527.08+15712.5</f>
        <v>65887.83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164017.1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898.99+471750.16</f>
        <v>472649.14999999997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128190.87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128190.87</v>
      </c>
      <c r="G162" s="41">
        <f>SUM(G150:G161)</f>
        <v>164017.1</v>
      </c>
      <c r="H162" s="41">
        <f>SUM(H150:H161)</f>
        <v>688408.05999999994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128190.87</v>
      </c>
      <c r="G169" s="41">
        <f>G147+G162+SUM(G163:G168)</f>
        <v>164017.1</v>
      </c>
      <c r="H169" s="41">
        <f>H147+H162+SUM(H163:H168)</f>
        <v>688408.05999999994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21973.84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21973.84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21973.84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30295753.610000003</v>
      </c>
      <c r="G193" s="47">
        <f>G112+G140+G169+G192</f>
        <v>644778.53999999992</v>
      </c>
      <c r="H193" s="47">
        <f>H112+H140+H169+H192</f>
        <v>832649.0199999999</v>
      </c>
      <c r="I193" s="47">
        <f>I112+I140+I169+I192</f>
        <v>0</v>
      </c>
      <c r="J193" s="47">
        <f>J112+J140+J192</f>
        <v>421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3010435.56-75+4088.65</f>
        <v>3014449.21</v>
      </c>
      <c r="G197" s="18">
        <f>1441719.84+75+719.86</f>
        <v>1442514.7000000002</v>
      </c>
      <c r="H197" s="18">
        <f>100834.03+2679.3</f>
        <v>103513.33</v>
      </c>
      <c r="I197" s="18">
        <f>218356.5+387.98+315.99+9871.27-9300.72-16786-14814+1141.14</f>
        <v>189172.16</v>
      </c>
      <c r="J197" s="18">
        <f>252058.15+6692+74.87+6438.9-79-3174.78</f>
        <v>262010.13999999998</v>
      </c>
      <c r="K197" s="18">
        <f>16800.24+54.6</f>
        <v>16854.84</v>
      </c>
      <c r="L197" s="19">
        <f>SUM(F197:K197)</f>
        <v>5028514.38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1298897</v>
      </c>
      <c r="G198" s="18">
        <v>558532.13</v>
      </c>
      <c r="H198" s="18">
        <v>397961.72</v>
      </c>
      <c r="I198" s="18">
        <f>7934.48+89.27</f>
        <v>8023.75</v>
      </c>
      <c r="J198" s="18">
        <f>612.82+362.82+789.98</f>
        <v>1765.6200000000001</v>
      </c>
      <c r="K198" s="18"/>
      <c r="L198" s="19">
        <f>SUM(F198:K198)</f>
        <v>2265180.2199999997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49405.9</v>
      </c>
      <c r="G200" s="18">
        <v>4392.7299999999996</v>
      </c>
      <c r="H200" s="18"/>
      <c r="I200" s="18"/>
      <c r="J200" s="18"/>
      <c r="K200" s="18"/>
      <c r="L200" s="19">
        <f>SUM(F200:K200)</f>
        <v>53798.630000000005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594871.23+21247.92</f>
        <v>616119.15</v>
      </c>
      <c r="G202" s="18">
        <v>284017.09000000003</v>
      </c>
      <c r="H202" s="18">
        <f>99144.3-21247.92</f>
        <v>77896.38</v>
      </c>
      <c r="I202" s="18">
        <v>3729.69</v>
      </c>
      <c r="J202" s="18"/>
      <c r="K202" s="18"/>
      <c r="L202" s="19">
        <f t="shared" ref="L202:L208" si="0">SUM(F202:K202)</f>
        <v>981762.30999999994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113159.54</v>
      </c>
      <c r="G203" s="18">
        <v>91192.4</v>
      </c>
      <c r="H203" s="18">
        <v>5533.46</v>
      </c>
      <c r="I203" s="18">
        <v>26348.55</v>
      </c>
      <c r="J203" s="18"/>
      <c r="K203" s="18">
        <v>3504</v>
      </c>
      <c r="L203" s="19">
        <f t="shared" si="0"/>
        <v>239737.94999999998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166017+5292.95</f>
        <v>171309.95</v>
      </c>
      <c r="G204" s="18">
        <f>59890.92+970.76</f>
        <v>60861.68</v>
      </c>
      <c r="H204" s="18">
        <f>28185.07-1975.16</f>
        <v>26209.91</v>
      </c>
      <c r="I204" s="18">
        <v>8821.39</v>
      </c>
      <c r="J204" s="18"/>
      <c r="K204" s="18">
        <v>10525.38</v>
      </c>
      <c r="L204" s="19">
        <f t="shared" si="0"/>
        <v>277728.31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501819.03+3088.54</f>
        <v>504907.57</v>
      </c>
      <c r="G205" s="18">
        <f>241343.99+568.91</f>
        <v>241912.9</v>
      </c>
      <c r="H205" s="18">
        <v>8660.51</v>
      </c>
      <c r="I205" s="18">
        <v>5053.4799999999996</v>
      </c>
      <c r="J205" s="18"/>
      <c r="K205" s="18">
        <v>6676</v>
      </c>
      <c r="L205" s="19">
        <f t="shared" si="0"/>
        <v>767210.46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60421.89</v>
      </c>
      <c r="G206" s="18">
        <v>33314.959999999999</v>
      </c>
      <c r="H206" s="18">
        <v>43684.58</v>
      </c>
      <c r="I206" s="18">
        <v>1279.07</v>
      </c>
      <c r="J206" s="18">
        <f>371.28+85.8</f>
        <v>457.08</v>
      </c>
      <c r="K206" s="18">
        <v>902.4</v>
      </c>
      <c r="L206" s="19">
        <f t="shared" si="0"/>
        <v>140059.97999999998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414701.77+18006.11</f>
        <v>432707.88</v>
      </c>
      <c r="G207" s="18">
        <f>219097.16+3191.02</f>
        <v>222288.18</v>
      </c>
      <c r="H207" s="18">
        <f>161959.65+18390.38+35918-3405-710</f>
        <v>212153.03</v>
      </c>
      <c r="I207" s="18">
        <f>281280.34+397.64</f>
        <v>281677.98000000004</v>
      </c>
      <c r="J207" s="18">
        <f>36328.48+16933.1+3658.2-1623.75-1623.75-14914.5-2271.5</f>
        <v>36486.28</v>
      </c>
      <c r="K207" s="18">
        <v>1900.08</v>
      </c>
      <c r="L207" s="19">
        <f t="shared" si="0"/>
        <v>1187213.4300000002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397391.8</v>
      </c>
      <c r="I208" s="18">
        <v>34578.32</v>
      </c>
      <c r="J208" s="18"/>
      <c r="K208" s="18"/>
      <c r="L208" s="19">
        <f t="shared" si="0"/>
        <v>431970.12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78390</v>
      </c>
      <c r="G209" s="18">
        <v>136102.37</v>
      </c>
      <c r="H209" s="18"/>
      <c r="I209" s="18"/>
      <c r="J209" s="18"/>
      <c r="K209" s="18"/>
      <c r="L209" s="19">
        <f>SUM(F209:K209)</f>
        <v>214492.37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6339768.0900000008</v>
      </c>
      <c r="G211" s="41">
        <f t="shared" si="1"/>
        <v>3075129.14</v>
      </c>
      <c r="H211" s="41">
        <f t="shared" si="1"/>
        <v>1273004.72</v>
      </c>
      <c r="I211" s="41">
        <f t="shared" si="1"/>
        <v>558684.39</v>
      </c>
      <c r="J211" s="41">
        <f t="shared" si="1"/>
        <v>300719.12</v>
      </c>
      <c r="K211" s="41">
        <f t="shared" si="1"/>
        <v>40362.700000000004</v>
      </c>
      <c r="L211" s="41">
        <f t="shared" si="1"/>
        <v>11587668.159999996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1668634.21+2201.58</f>
        <v>1670835.79</v>
      </c>
      <c r="G215" s="18">
        <f>751222.9+387.62</f>
        <v>751610.52</v>
      </c>
      <c r="H215" s="18">
        <f>49621.28+406.86+1442.7-2100</f>
        <v>49370.84</v>
      </c>
      <c r="I215" s="18">
        <f>117339.08+5315.3-1247.58-5008.08-15800+614.46</f>
        <v>101213.18000000001</v>
      </c>
      <c r="J215" s="18">
        <f>108237.95+3467.1-372</f>
        <v>111333.05</v>
      </c>
      <c r="K215" s="18">
        <f>10053.95+29.4</f>
        <v>10083.35</v>
      </c>
      <c r="L215" s="19">
        <f>SUM(F215:K215)</f>
        <v>2694446.73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486924.68</v>
      </c>
      <c r="G216" s="18">
        <v>308827.83</v>
      </c>
      <c r="H216" s="18">
        <v>70775.05</v>
      </c>
      <c r="I216" s="18">
        <v>6421.46</v>
      </c>
      <c r="J216" s="18">
        <f>646.08+195.36</f>
        <v>841.44</v>
      </c>
      <c r="K216" s="18"/>
      <c r="L216" s="19">
        <f>SUM(F216:K216)</f>
        <v>873790.46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62199.91</v>
      </c>
      <c r="G218" s="18">
        <v>20937.98</v>
      </c>
      <c r="H218" s="18">
        <v>13045</v>
      </c>
      <c r="I218" s="18">
        <v>3749.15</v>
      </c>
      <c r="J218" s="18">
        <f>10872.16+8159</f>
        <v>19031.16</v>
      </c>
      <c r="K218" s="18">
        <v>930</v>
      </c>
      <c r="L218" s="19">
        <f>SUM(F218:K218)</f>
        <v>119893.2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285918.40999999997</v>
      </c>
      <c r="G220" s="18">
        <v>144322.51</v>
      </c>
      <c r="H220" s="18">
        <v>37278</v>
      </c>
      <c r="I220" s="18">
        <f>2163.96+15.69</f>
        <v>2179.65</v>
      </c>
      <c r="J220" s="18"/>
      <c r="K220" s="18"/>
      <c r="L220" s="19">
        <f t="shared" ref="L220:L226" si="2">SUM(F220:K220)</f>
        <v>469698.57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66862.3</v>
      </c>
      <c r="G221" s="18">
        <v>38467.18</v>
      </c>
      <c r="H221" s="18">
        <v>3112.95</v>
      </c>
      <c r="I221" s="18">
        <f>18015.1+72.69</f>
        <v>18087.789999999997</v>
      </c>
      <c r="J221" s="18">
        <v>322.57</v>
      </c>
      <c r="K221" s="18">
        <v>2006.4</v>
      </c>
      <c r="L221" s="19">
        <f t="shared" si="2"/>
        <v>128859.19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96115.1+2850.05</f>
        <v>98965.150000000009</v>
      </c>
      <c r="G222" s="18">
        <f>34673.67+522.72</f>
        <v>35196.39</v>
      </c>
      <c r="H222" s="18">
        <f>16317.71-1063.55</f>
        <v>15254.16</v>
      </c>
      <c r="I222" s="18">
        <v>5103.1499999999996</v>
      </c>
      <c r="J222" s="18"/>
      <c r="K222" s="18">
        <v>6093.62</v>
      </c>
      <c r="L222" s="19">
        <f t="shared" si="2"/>
        <v>160612.47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260125.17+1663.06</f>
        <v>261788.23</v>
      </c>
      <c r="G223" s="18">
        <f>113520.83+306.64</f>
        <v>113827.47</v>
      </c>
      <c r="H223" s="18">
        <v>8019.55</v>
      </c>
      <c r="I223" s="18"/>
      <c r="J223" s="18"/>
      <c r="K223" s="18">
        <v>3405</v>
      </c>
      <c r="L223" s="19">
        <f t="shared" si="2"/>
        <v>387040.25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34981.089999999997</v>
      </c>
      <c r="G224" s="18">
        <v>19287.62</v>
      </c>
      <c r="H224" s="18">
        <v>25291.06</v>
      </c>
      <c r="I224" s="18">
        <v>740.51</v>
      </c>
      <c r="J224" s="18">
        <f>214.96+46.2</f>
        <v>261.16000000000003</v>
      </c>
      <c r="K224" s="18">
        <v>504.1</v>
      </c>
      <c r="L224" s="19">
        <f t="shared" si="2"/>
        <v>81065.539999999994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179727.83+9695.6</f>
        <v>189423.43</v>
      </c>
      <c r="G225" s="18">
        <f>93153.44+1718.24</f>
        <v>94871.680000000008</v>
      </c>
      <c r="H225" s="18">
        <f>95600.42+25353.69+24120-11353.77</f>
        <v>133720.34</v>
      </c>
      <c r="I225" s="18">
        <f>162732.67+200</f>
        <v>162932.67000000001</v>
      </c>
      <c r="J225" s="18">
        <f>5381.36+8128.83+22910.8+7807.45-1623.75</f>
        <v>42604.689999999995</v>
      </c>
      <c r="K225" s="18">
        <v>1015.32</v>
      </c>
      <c r="L225" s="19">
        <f t="shared" si="2"/>
        <v>624568.12999999989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212724.09</v>
      </c>
      <c r="I226" s="18">
        <v>20019.03</v>
      </c>
      <c r="J226" s="18"/>
      <c r="K226" s="18"/>
      <c r="L226" s="19">
        <f t="shared" si="2"/>
        <v>232743.12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41154.75</v>
      </c>
      <c r="G227" s="18">
        <v>71453.740000000005</v>
      </c>
      <c r="H227" s="18"/>
      <c r="I227" s="18"/>
      <c r="J227" s="18"/>
      <c r="K227" s="18"/>
      <c r="L227" s="19">
        <f>SUM(F227:K227)</f>
        <v>112608.49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3199053.74</v>
      </c>
      <c r="G229" s="41">
        <f>SUM(G215:G228)</f>
        <v>1598802.92</v>
      </c>
      <c r="H229" s="41">
        <f>SUM(H215:H228)</f>
        <v>568591.04</v>
      </c>
      <c r="I229" s="41">
        <f>SUM(I215:I228)</f>
        <v>320446.59000000008</v>
      </c>
      <c r="J229" s="41">
        <f>SUM(J215:J228)</f>
        <v>174394.07</v>
      </c>
      <c r="K229" s="41">
        <f t="shared" si="3"/>
        <v>24037.789999999997</v>
      </c>
      <c r="L229" s="41">
        <f t="shared" si="3"/>
        <v>5885326.1500000004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2823595.59+4193.48</f>
        <v>2827789.07</v>
      </c>
      <c r="G233" s="18">
        <f>1207110.85+738.32</f>
        <v>1207849.1700000002</v>
      </c>
      <c r="H233" s="18">
        <f>108276.46+2748+3.42-1263.61</f>
        <v>109764.27</v>
      </c>
      <c r="I233" s="18">
        <f>172074.46+10124.38-9339.2-31600+1170.4</f>
        <v>142430.03999999998</v>
      </c>
      <c r="J233" s="18">
        <f>291016.69+6604</f>
        <v>297620.69</v>
      </c>
      <c r="K233" s="18">
        <f>18231.34+56</f>
        <v>18287.34</v>
      </c>
      <c r="L233" s="19">
        <f>SUM(F233:K233)</f>
        <v>4603740.58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565522.69999999995</v>
      </c>
      <c r="G234" s="18">
        <v>362076.03</v>
      </c>
      <c r="H234" s="18">
        <v>548641.48</v>
      </c>
      <c r="I234" s="18">
        <v>7725.77</v>
      </c>
      <c r="J234" s="18">
        <f>1570.15+372.12</f>
        <v>1942.27</v>
      </c>
      <c r="K234" s="18"/>
      <c r="L234" s="19">
        <f>SUM(F234:K234)</f>
        <v>1485908.25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201925</v>
      </c>
      <c r="I235" s="18"/>
      <c r="J235" s="18"/>
      <c r="K235" s="18"/>
      <c r="L235" s="19">
        <f>SUM(F235:K235)</f>
        <v>201925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173671.69</v>
      </c>
      <c r="G236" s="18">
        <v>47491.27</v>
      </c>
      <c r="H236" s="18">
        <v>65322.16</v>
      </c>
      <c r="I236" s="18">
        <v>20094.02</v>
      </c>
      <c r="J236" s="18">
        <f>36229.34+5318.18</f>
        <v>41547.519999999997</v>
      </c>
      <c r="K236" s="18">
        <v>14005</v>
      </c>
      <c r="L236" s="19">
        <f>SUM(F236:K236)</f>
        <v>362131.66000000003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426326.64</v>
      </c>
      <c r="G238" s="18">
        <v>216954.6</v>
      </c>
      <c r="H238" s="18">
        <v>4475.25</v>
      </c>
      <c r="I238" s="18">
        <v>7219.36</v>
      </c>
      <c r="J238" s="18">
        <v>1331.59</v>
      </c>
      <c r="K238" s="18">
        <v>918</v>
      </c>
      <c r="L238" s="19">
        <f t="shared" ref="L238:L244" si="4">SUM(F238:K238)</f>
        <v>657225.43999999994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91850</v>
      </c>
      <c r="G239" s="18">
        <v>42956.71</v>
      </c>
      <c r="H239" s="18">
        <v>5190.28</v>
      </c>
      <c r="I239" s="18">
        <v>39050.120000000003</v>
      </c>
      <c r="J239" s="18">
        <v>2060.33</v>
      </c>
      <c r="K239" s="18">
        <v>3673.6</v>
      </c>
      <c r="L239" s="19">
        <f t="shared" si="4"/>
        <v>184781.03999999998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174754.73+5428.67</f>
        <v>180183.40000000002</v>
      </c>
      <c r="G240" s="18">
        <f>63043.05+995.65</f>
        <v>64038.700000000004</v>
      </c>
      <c r="H240" s="18">
        <f>29668.51-2025.79</f>
        <v>27642.719999999998</v>
      </c>
      <c r="I240" s="18">
        <v>9283.0300000000007</v>
      </c>
      <c r="J240" s="18"/>
      <c r="K240" s="18">
        <v>11079.34</v>
      </c>
      <c r="L240" s="19">
        <f t="shared" si="4"/>
        <v>292227.19000000006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371448.16+3167.73</f>
        <v>374615.88999999996</v>
      </c>
      <c r="G241" s="18">
        <f>165952.88+583.5</f>
        <v>166536.38</v>
      </c>
      <c r="H241" s="18">
        <v>27475.93</v>
      </c>
      <c r="I241" s="18">
        <f>14523.78+925</f>
        <v>15448.78</v>
      </c>
      <c r="J241" s="18"/>
      <c r="K241" s="18">
        <v>16106.85</v>
      </c>
      <c r="L241" s="19">
        <f t="shared" si="4"/>
        <v>600183.83000000007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63601.98</v>
      </c>
      <c r="G242" s="18">
        <v>35068.379999999997</v>
      </c>
      <c r="H242" s="18">
        <v>45983.76</v>
      </c>
      <c r="I242" s="18">
        <v>1346.39</v>
      </c>
      <c r="J242" s="18">
        <f>1301.79+88</f>
        <v>1389.79</v>
      </c>
      <c r="K242" s="18">
        <v>923.5</v>
      </c>
      <c r="L242" s="19">
        <f t="shared" si="4"/>
        <v>148313.80000000002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525464.97+18467.81</f>
        <v>543932.78</v>
      </c>
      <c r="G243" s="18">
        <f>307474.41+3272.84-0.3</f>
        <v>310746.95</v>
      </c>
      <c r="H243" s="18">
        <f>192634.54+25335.9+8087-5200-1870</f>
        <v>218987.44</v>
      </c>
      <c r="I243" s="18">
        <f>436366.98-24921-6200</f>
        <v>405245.98</v>
      </c>
      <c r="J243" s="18">
        <f>10982.61+18618.52+3752-1623.75-3775</f>
        <v>27954.380000000005</v>
      </c>
      <c r="K243" s="18">
        <v>2989.65</v>
      </c>
      <c r="L243" s="19">
        <f t="shared" si="4"/>
        <v>1509857.1799999997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378385.26</v>
      </c>
      <c r="I244" s="18">
        <v>36398.239999999998</v>
      </c>
      <c r="J244" s="18"/>
      <c r="K244" s="18"/>
      <c r="L244" s="19">
        <f t="shared" si="4"/>
        <v>414783.5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76430.25</v>
      </c>
      <c r="G245" s="18">
        <v>132699.81</v>
      </c>
      <c r="H245" s="18"/>
      <c r="I245" s="18"/>
      <c r="J245" s="18"/>
      <c r="K245" s="18"/>
      <c r="L245" s="19">
        <f>SUM(F245:K245)</f>
        <v>209130.06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5323924.4000000004</v>
      </c>
      <c r="G247" s="41">
        <f t="shared" si="5"/>
        <v>2586418.0000000005</v>
      </c>
      <c r="H247" s="41">
        <f t="shared" si="5"/>
        <v>1633793.55</v>
      </c>
      <c r="I247" s="41">
        <f t="shared" si="5"/>
        <v>684241.73</v>
      </c>
      <c r="J247" s="41">
        <f t="shared" si="5"/>
        <v>373846.57000000007</v>
      </c>
      <c r="K247" s="41">
        <f t="shared" si="5"/>
        <v>67983.28</v>
      </c>
      <c r="L247" s="41">
        <f t="shared" si="5"/>
        <v>10670207.530000001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>
        <v>2500</v>
      </c>
      <c r="L253" s="19">
        <f t="shared" si="6"/>
        <v>2500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111668.05+100644.01-42413.34-5000-27855</f>
        <v>137043.72</v>
      </c>
      <c r="I255" s="18"/>
      <c r="J255" s="18"/>
      <c r="K255" s="18"/>
      <c r="L255" s="19">
        <f t="shared" si="6"/>
        <v>137043.72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137043.72</v>
      </c>
      <c r="I256" s="41">
        <f t="shared" si="7"/>
        <v>0</v>
      </c>
      <c r="J256" s="41">
        <f t="shared" si="7"/>
        <v>0</v>
      </c>
      <c r="K256" s="41">
        <f t="shared" si="7"/>
        <v>2500</v>
      </c>
      <c r="L256" s="41">
        <f>SUM(F256:K256)</f>
        <v>139543.72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14862746.230000002</v>
      </c>
      <c r="G257" s="41">
        <f t="shared" si="8"/>
        <v>7260350.0600000005</v>
      </c>
      <c r="H257" s="41">
        <f t="shared" si="8"/>
        <v>3612433.0300000003</v>
      </c>
      <c r="I257" s="41">
        <f t="shared" si="8"/>
        <v>1563372.71</v>
      </c>
      <c r="J257" s="41">
        <f t="shared" si="8"/>
        <v>848959.76</v>
      </c>
      <c r="K257" s="41">
        <f t="shared" si="8"/>
        <v>134883.77000000002</v>
      </c>
      <c r="L257" s="41">
        <f t="shared" si="8"/>
        <v>28282745.559999995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1495515.85</v>
      </c>
      <c r="L260" s="19">
        <f>SUM(F260:K260)</f>
        <v>1495515.85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819874.65</v>
      </c>
      <c r="L261" s="19">
        <f>SUM(F261:K261)</f>
        <v>819874.65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21973.84</v>
      </c>
      <c r="L263" s="19">
        <f>SUM(F263:K263)</f>
        <v>21973.84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2337364.34</v>
      </c>
      <c r="L270" s="41">
        <f t="shared" si="9"/>
        <v>2337364.34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14862746.230000002</v>
      </c>
      <c r="G271" s="42">
        <f t="shared" si="11"/>
        <v>7260350.0600000005</v>
      </c>
      <c r="H271" s="42">
        <f t="shared" si="11"/>
        <v>3612433.0300000003</v>
      </c>
      <c r="I271" s="42">
        <f t="shared" si="11"/>
        <v>1563372.71</v>
      </c>
      <c r="J271" s="42">
        <f t="shared" si="11"/>
        <v>848959.76</v>
      </c>
      <c r="K271" s="42">
        <f t="shared" si="11"/>
        <v>2472248.11</v>
      </c>
      <c r="L271" s="42">
        <f t="shared" si="11"/>
        <v>30620109.899999995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117632.49</f>
        <v>117632.49</v>
      </c>
      <c r="G276" s="18">
        <f>22438.7</f>
        <v>22438.7</v>
      </c>
      <c r="H276" s="18">
        <f>4257.41</f>
        <v>4257.41</v>
      </c>
      <c r="I276" s="18">
        <f>3417.53</f>
        <v>3417.53</v>
      </c>
      <c r="J276" s="18">
        <v>3572.4</v>
      </c>
      <c r="K276" s="18"/>
      <c r="L276" s="19">
        <f>SUM(F276:K276)</f>
        <v>151318.53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125013.03</v>
      </c>
      <c r="G277" s="18">
        <v>24815.15</v>
      </c>
      <c r="H277" s="18">
        <v>1383.99</v>
      </c>
      <c r="I277" s="18"/>
      <c r="J277" s="18"/>
      <c r="K277" s="18"/>
      <c r="L277" s="19">
        <f>SUM(F277:K277)</f>
        <v>151212.16999999998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6720</f>
        <v>6720</v>
      </c>
      <c r="G281" s="18">
        <v>1465.36</v>
      </c>
      <c r="H281" s="18">
        <v>76980</v>
      </c>
      <c r="I281" s="18"/>
      <c r="J281" s="18"/>
      <c r="K281" s="18"/>
      <c r="L281" s="19">
        <f t="shared" ref="L281:L287" si="12">SUM(F281:K281)</f>
        <v>85165.36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11141.22</f>
        <v>11141.22</v>
      </c>
      <c r="I282" s="18"/>
      <c r="J282" s="18"/>
      <c r="K282" s="18"/>
      <c r="L282" s="19">
        <f t="shared" si="12"/>
        <v>11141.22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f>21215.97+1925.43</f>
        <v>23141.4</v>
      </c>
      <c r="I286" s="18">
        <v>1008.95</v>
      </c>
      <c r="J286" s="18">
        <f>853.32+15688.53</f>
        <v>16541.850000000002</v>
      </c>
      <c r="K286" s="18">
        <v>6.05</v>
      </c>
      <c r="L286" s="19">
        <f t="shared" si="12"/>
        <v>40698.250000000007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249365.52000000002</v>
      </c>
      <c r="G290" s="42">
        <f t="shared" si="13"/>
        <v>48719.210000000006</v>
      </c>
      <c r="H290" s="42">
        <f t="shared" si="13"/>
        <v>116904.01999999999</v>
      </c>
      <c r="I290" s="42">
        <f t="shared" si="13"/>
        <v>4426.4800000000005</v>
      </c>
      <c r="J290" s="42">
        <f t="shared" si="13"/>
        <v>20114.250000000004</v>
      </c>
      <c r="K290" s="42">
        <f t="shared" si="13"/>
        <v>6.05</v>
      </c>
      <c r="L290" s="41">
        <f t="shared" si="13"/>
        <v>439535.52999999991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2184</f>
        <v>2184</v>
      </c>
      <c r="G295" s="18">
        <f>414.78</f>
        <v>414.78</v>
      </c>
      <c r="H295" s="18">
        <f>672</f>
        <v>672</v>
      </c>
      <c r="I295" s="18">
        <v>0</v>
      </c>
      <c r="J295" s="18">
        <v>1923.6</v>
      </c>
      <c r="K295" s="18"/>
      <c r="L295" s="19">
        <f>SUM(F295:K295)</f>
        <v>5194.3799999999992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63254.73</f>
        <v>63254.73</v>
      </c>
      <c r="G296" s="18">
        <v>12477.64</v>
      </c>
      <c r="H296" s="18">
        <v>18760</v>
      </c>
      <c r="I296" s="18"/>
      <c r="J296" s="18"/>
      <c r="K296" s="18"/>
      <c r="L296" s="19">
        <f>SUM(F296:K296)</f>
        <v>94492.37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 t="s">
        <v>287</v>
      </c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0</v>
      </c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5455.71</v>
      </c>
      <c r="I301" s="18"/>
      <c r="J301" s="18"/>
      <c r="K301" s="18"/>
      <c r="L301" s="19">
        <f t="shared" si="14"/>
        <v>5455.71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f>11423.98+1036.77</f>
        <v>12460.75</v>
      </c>
      <c r="I305" s="18">
        <v>543.28</v>
      </c>
      <c r="J305" s="18">
        <f>459.48+8447.67</f>
        <v>8907.15</v>
      </c>
      <c r="K305" s="18">
        <v>3.26</v>
      </c>
      <c r="L305" s="19">
        <f t="shared" si="14"/>
        <v>21914.44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65438.73</v>
      </c>
      <c r="G309" s="42">
        <f t="shared" si="15"/>
        <v>12892.42</v>
      </c>
      <c r="H309" s="42">
        <f t="shared" si="15"/>
        <v>37348.46</v>
      </c>
      <c r="I309" s="42">
        <f t="shared" si="15"/>
        <v>543.28</v>
      </c>
      <c r="J309" s="42">
        <f t="shared" si="15"/>
        <v>10830.75</v>
      </c>
      <c r="K309" s="42">
        <f t="shared" si="15"/>
        <v>3.26</v>
      </c>
      <c r="L309" s="41">
        <f t="shared" si="15"/>
        <v>127056.90000000001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4160</v>
      </c>
      <c r="G314" s="18">
        <v>790.05</v>
      </c>
      <c r="H314" s="18">
        <v>10357.84</v>
      </c>
      <c r="I314" s="18">
        <v>500</v>
      </c>
      <c r="J314" s="18">
        <v>3664</v>
      </c>
      <c r="K314" s="18"/>
      <c r="L314" s="19">
        <f>SUM(F314:K314)</f>
        <v>19471.89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120485.2</v>
      </c>
      <c r="G315" s="18">
        <v>23766.94</v>
      </c>
      <c r="H315" s="18">
        <v>5712.47</v>
      </c>
      <c r="I315" s="18"/>
      <c r="J315" s="18"/>
      <c r="K315" s="18"/>
      <c r="L315" s="19">
        <f>SUM(F315:K315)</f>
        <v>149964.60999999999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v>0</v>
      </c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15491.83</v>
      </c>
      <c r="I320" s="18"/>
      <c r="J320" s="18"/>
      <c r="K320" s="18"/>
      <c r="L320" s="19">
        <f t="shared" si="16"/>
        <v>15491.83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f>21759.97+1974.8</f>
        <v>23734.77</v>
      </c>
      <c r="I324" s="18">
        <v>1034.82</v>
      </c>
      <c r="J324" s="18">
        <f>16090.8+875.2</f>
        <v>16966</v>
      </c>
      <c r="K324" s="18">
        <v>6.2</v>
      </c>
      <c r="L324" s="19">
        <f t="shared" si="16"/>
        <v>41741.789999999994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124645.2</v>
      </c>
      <c r="G328" s="42">
        <f t="shared" si="17"/>
        <v>24556.989999999998</v>
      </c>
      <c r="H328" s="42">
        <f t="shared" si="17"/>
        <v>55296.91</v>
      </c>
      <c r="I328" s="42">
        <f t="shared" si="17"/>
        <v>1534.82</v>
      </c>
      <c r="J328" s="42">
        <f t="shared" si="17"/>
        <v>20630</v>
      </c>
      <c r="K328" s="42">
        <f t="shared" si="17"/>
        <v>6.2</v>
      </c>
      <c r="L328" s="41">
        <f t="shared" si="17"/>
        <v>226670.12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439449.45</v>
      </c>
      <c r="G338" s="41">
        <f t="shared" si="20"/>
        <v>86168.62</v>
      </c>
      <c r="H338" s="41">
        <f t="shared" si="20"/>
        <v>209549.38999999998</v>
      </c>
      <c r="I338" s="41">
        <f t="shared" si="20"/>
        <v>6504.58</v>
      </c>
      <c r="J338" s="41">
        <f t="shared" si="20"/>
        <v>51575</v>
      </c>
      <c r="K338" s="41">
        <f t="shared" si="20"/>
        <v>15.509999999999998</v>
      </c>
      <c r="L338" s="41">
        <f t="shared" si="20"/>
        <v>793262.54999999993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439449.45</v>
      </c>
      <c r="G352" s="41">
        <f>G338</f>
        <v>86168.62</v>
      </c>
      <c r="H352" s="41">
        <f>H338</f>
        <v>209549.38999999998</v>
      </c>
      <c r="I352" s="41">
        <f>I338</f>
        <v>6504.58</v>
      </c>
      <c r="J352" s="41">
        <f>J338</f>
        <v>51575</v>
      </c>
      <c r="K352" s="47">
        <f>K338+K351</f>
        <v>15.509999999999998</v>
      </c>
      <c r="L352" s="41">
        <f>L338+L351</f>
        <v>793262.54999999993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243417.23</v>
      </c>
      <c r="I358" s="18">
        <v>1318.65</v>
      </c>
      <c r="J358" s="18">
        <v>439</v>
      </c>
      <c r="K358" s="18">
        <v>113.15</v>
      </c>
      <c r="L358" s="13">
        <f>SUM(F358:K358)</f>
        <v>245288.03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140925.76999999999</v>
      </c>
      <c r="I359" s="18">
        <v>763.42</v>
      </c>
      <c r="J359" s="18"/>
      <c r="K359" s="18">
        <v>65.5</v>
      </c>
      <c r="L359" s="19">
        <f>SUM(F359:K359)</f>
        <v>141754.69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256228.67</v>
      </c>
      <c r="I360" s="18">
        <v>1388.05</v>
      </c>
      <c r="J360" s="18"/>
      <c r="K360" s="18">
        <v>119.1</v>
      </c>
      <c r="L360" s="19">
        <f>SUM(F360:K360)</f>
        <v>257735.82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640571.67000000004</v>
      </c>
      <c r="I362" s="47">
        <f t="shared" si="22"/>
        <v>3470.12</v>
      </c>
      <c r="J362" s="47">
        <f t="shared" si="22"/>
        <v>439</v>
      </c>
      <c r="K362" s="47">
        <f t="shared" si="22"/>
        <v>297.75</v>
      </c>
      <c r="L362" s="47">
        <f t="shared" si="22"/>
        <v>644778.54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3470.12*0.39</f>
        <v>1353.3468</v>
      </c>
      <c r="G368" s="63">
        <f>3470.12*0.21</f>
        <v>728.72519999999997</v>
      </c>
      <c r="H368" s="63">
        <f>3470.12*0.4</f>
        <v>1388.048</v>
      </c>
      <c r="I368" s="56">
        <f>SUM(F368:H368)</f>
        <v>3470.12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1353.3468</v>
      </c>
      <c r="G369" s="47">
        <f>SUM(G367:G368)</f>
        <v>728.72519999999997</v>
      </c>
      <c r="H369" s="47">
        <f>SUM(H367:H368)</f>
        <v>1388.048</v>
      </c>
      <c r="I369" s="47">
        <f>SUM(I367:I368)</f>
        <v>3470.12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80</v>
      </c>
      <c r="I396" s="18"/>
      <c r="J396" s="24" t="s">
        <v>289</v>
      </c>
      <c r="K396" s="24" t="s">
        <v>289</v>
      </c>
      <c r="L396" s="56">
        <f t="shared" si="26"/>
        <v>80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341</v>
      </c>
      <c r="I397" s="18"/>
      <c r="J397" s="24" t="s">
        <v>289</v>
      </c>
      <c r="K397" s="24" t="s">
        <v>289</v>
      </c>
      <c r="L397" s="56">
        <f t="shared" si="26"/>
        <v>341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421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421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421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421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227017+53500</f>
        <v>280517</v>
      </c>
      <c r="H439" s="18"/>
      <c r="I439" s="56">
        <f t="shared" ref="I439:I445" si="33">SUM(F439:H439)</f>
        <v>280517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280517</v>
      </c>
      <c r="H446" s="13">
        <f>SUM(H439:H445)</f>
        <v>0</v>
      </c>
      <c r="I446" s="13">
        <f>SUM(I439:I445)</f>
        <v>280517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280517</v>
      </c>
      <c r="H459" s="18"/>
      <c r="I459" s="56">
        <f t="shared" si="34"/>
        <v>280517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280517</v>
      </c>
      <c r="H460" s="83">
        <f>SUM(H454:H459)</f>
        <v>0</v>
      </c>
      <c r="I460" s="83">
        <f>SUM(I454:I459)</f>
        <v>280517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280517</v>
      </c>
      <c r="H461" s="42">
        <f>H452+H460</f>
        <v>0</v>
      </c>
      <c r="I461" s="42">
        <f>I452+I460</f>
        <v>280517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1187581.6299999999</v>
      </c>
      <c r="G465" s="18">
        <v>27894.36</v>
      </c>
      <c r="H465" s="18">
        <f>274019-0.32</f>
        <v>274018.68</v>
      </c>
      <c r="I465" s="18"/>
      <c r="J465" s="18">
        <f>226676+53420</f>
        <v>280096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30295753.610000003</v>
      </c>
      <c r="G468" s="18">
        <f>G193</f>
        <v>644778.53999999992</v>
      </c>
      <c r="H468" s="18">
        <f>H193</f>
        <v>832649.0199999999</v>
      </c>
      <c r="I468" s="18"/>
      <c r="J468" s="18">
        <f>341+80</f>
        <v>421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30295753.610000003</v>
      </c>
      <c r="G470" s="53">
        <f>SUM(G468:G469)</f>
        <v>644778.53999999992</v>
      </c>
      <c r="H470" s="53">
        <f>SUM(H468:H469)</f>
        <v>832649.0199999999</v>
      </c>
      <c r="I470" s="53">
        <f>SUM(I468:I469)</f>
        <v>0</v>
      </c>
      <c r="J470" s="53">
        <f>SUM(J468:J469)</f>
        <v>421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30620109.899999995</v>
      </c>
      <c r="G472" s="18">
        <f>L362</f>
        <v>644778.54</v>
      </c>
      <c r="H472" s="18">
        <f>L352</f>
        <v>793262.54999999993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30620109.899999995</v>
      </c>
      <c r="G474" s="53">
        <f>SUM(G472:G473)</f>
        <v>644778.54</v>
      </c>
      <c r="H474" s="53">
        <f>SUM(H472:H473)</f>
        <v>793262.54999999993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863225.3400000073</v>
      </c>
      <c r="G476" s="53">
        <f>(G465+G470)- G474</f>
        <v>27894.35999999987</v>
      </c>
      <c r="H476" s="53">
        <f>(H465+H470)- H474</f>
        <v>313405.15000000002</v>
      </c>
      <c r="I476" s="53">
        <f>(I465+I470)- I474</f>
        <v>0</v>
      </c>
      <c r="J476" s="53">
        <f>(J465+J470)- J474</f>
        <v>280517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29770200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04">
        <v>20437531.740000002</v>
      </c>
      <c r="G495" s="18"/>
      <c r="H495" s="18"/>
      <c r="I495" s="18"/>
      <c r="J495" s="18"/>
      <c r="K495" s="53">
        <f>SUM(F495:J495)</f>
        <v>20437531.740000002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1495516</v>
      </c>
      <c r="G497" s="18"/>
      <c r="H497" s="18"/>
      <c r="I497" s="18"/>
      <c r="J497" s="18"/>
      <c r="K497" s="53">
        <f t="shared" si="35"/>
        <v>1495516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18942015.740000002</v>
      </c>
      <c r="G498" s="204"/>
      <c r="H498" s="204"/>
      <c r="I498" s="204"/>
      <c r="J498" s="204"/>
      <c r="K498" s="205">
        <f t="shared" si="35"/>
        <v>18942015.740000002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668051.3+186139.39+756169.11+183300.7+812043.93+176969.38+912611.23+167114.65+985523.45+153694.11+1056997.57+137928.33+1123085.69+118793.59+1198306.63+94750.96+1273549.26+66997.32+1350115.92+35464.66+1440342.44</f>
        <v>12897949.619999999</v>
      </c>
      <c r="G499" s="18"/>
      <c r="H499" s="18"/>
      <c r="I499" s="18"/>
      <c r="J499" s="18"/>
      <c r="K499" s="53">
        <f t="shared" si="35"/>
        <v>12897949.619999999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31839965.359999999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31839965.359999999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1148420.45+271779.36</f>
        <v>1420199.81</v>
      </c>
      <c r="G501" s="204"/>
      <c r="H501" s="204"/>
      <c r="I501" s="204"/>
      <c r="J501" s="204"/>
      <c r="K501" s="205">
        <f t="shared" si="35"/>
        <v>1420199.81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739373.3+186139.99-28322-43000</f>
        <v>854191.29</v>
      </c>
      <c r="G502" s="18"/>
      <c r="H502" s="18"/>
      <c r="I502" s="18"/>
      <c r="J502" s="18"/>
      <c r="K502" s="53">
        <f t="shared" si="35"/>
        <v>854191.29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2274391.1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2274391.1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227792</v>
      </c>
      <c r="G507" s="144">
        <f>I507-F507</f>
        <v>138192</v>
      </c>
      <c r="H507" s="144"/>
      <c r="I507" s="144">
        <v>365984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f>1101127</f>
        <v>1101127</v>
      </c>
      <c r="G511" s="24" t="s">
        <v>289</v>
      </c>
      <c r="H511" s="18">
        <v>1101127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f>227544</f>
        <v>227544</v>
      </c>
      <c r="G512" s="24" t="s">
        <v>289</v>
      </c>
      <c r="H512" s="18">
        <f>284356.79</f>
        <v>284356.78999999998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f>29367011+1476830</f>
        <v>30843841</v>
      </c>
      <c r="G513" s="24" t="s">
        <v>289</v>
      </c>
      <c r="H513" s="18">
        <f>28951422.28+177729.9</f>
        <v>29129152.18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f>93855+467701+47268</f>
        <v>608824</v>
      </c>
      <c r="G514" s="24" t="s">
        <v>289</v>
      </c>
      <c r="H514" s="18">
        <f>159788.26+595703.4+35581.07</f>
        <v>791072.73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>
        <v>121410</v>
      </c>
      <c r="G515" s="24" t="s">
        <v>289</v>
      </c>
      <c r="H515" s="18">
        <v>21206.66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32902746</v>
      </c>
      <c r="H516" s="24" t="s">
        <v>289</v>
      </c>
      <c r="I516" s="18">
        <v>32926915.25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32902746</v>
      </c>
      <c r="G517" s="42">
        <f>SUM(G511:G516)</f>
        <v>32902746</v>
      </c>
      <c r="H517" s="42">
        <f>SUM(H511:H516)</f>
        <v>31326915.359999999</v>
      </c>
      <c r="I517" s="42">
        <f>SUM(I511:I516)</f>
        <v>32926915.25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1251653.3999999999</v>
      </c>
      <c r="G521" s="18">
        <v>528821.47</v>
      </c>
      <c r="H521" s="18">
        <v>384029.35</v>
      </c>
      <c r="I521" s="18">
        <f>7263.16+155.84</f>
        <v>7419</v>
      </c>
      <c r="J521" s="18">
        <v>633.04999999999995</v>
      </c>
      <c r="K521" s="18"/>
      <c r="L521" s="88">
        <f>SUM(F521:K521)</f>
        <v>2172556.2699999996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490345.48</v>
      </c>
      <c r="G522" s="18">
        <v>294844.71999999997</v>
      </c>
      <c r="H522" s="18">
        <v>84003.199999999997</v>
      </c>
      <c r="I522" s="18">
        <v>6260.45</v>
      </c>
      <c r="J522" s="18">
        <v>625.84</v>
      </c>
      <c r="K522" s="18"/>
      <c r="L522" s="88">
        <f>SUM(F522:K522)</f>
        <v>876079.68999999983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686007.9</v>
      </c>
      <c r="G523" s="18">
        <v>386202.68</v>
      </c>
      <c r="H523" s="18">
        <v>551094.72</v>
      </c>
      <c r="I523" s="18">
        <v>7478.75</v>
      </c>
      <c r="J523" s="18">
        <v>1570.15</v>
      </c>
      <c r="K523" s="18"/>
      <c r="L523" s="88">
        <f>SUM(F523:K523)</f>
        <v>1632354.2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2428006.7799999998</v>
      </c>
      <c r="G524" s="108">
        <f t="shared" ref="G524:L524" si="36">SUM(G521:G523)</f>
        <v>1209868.8699999999</v>
      </c>
      <c r="H524" s="108">
        <f t="shared" si="36"/>
        <v>1019127.27</v>
      </c>
      <c r="I524" s="108">
        <f t="shared" si="36"/>
        <v>21158.2</v>
      </c>
      <c r="J524" s="108">
        <f t="shared" si="36"/>
        <v>2829.04</v>
      </c>
      <c r="K524" s="108">
        <f t="shared" si="36"/>
        <v>0</v>
      </c>
      <c r="L524" s="89">
        <f t="shared" si="36"/>
        <v>4680990.1599999992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241139.44+172203</f>
        <v>413342.44</v>
      </c>
      <c r="G526" s="18">
        <f>94695.49+80225.61</f>
        <v>174921.1</v>
      </c>
      <c r="H526" s="18"/>
      <c r="I526" s="18"/>
      <c r="J526" s="18"/>
      <c r="K526" s="18"/>
      <c r="L526" s="88">
        <f>SUM(F526:K526)</f>
        <v>588263.54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67674.039999999994</v>
      </c>
      <c r="G527" s="18">
        <v>40082.78</v>
      </c>
      <c r="H527" s="18"/>
      <c r="I527" s="18"/>
      <c r="J527" s="18"/>
      <c r="K527" s="18"/>
      <c r="L527" s="88">
        <f>SUM(F527:K527)</f>
        <v>107756.81999999999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85263.23</v>
      </c>
      <c r="G528" s="18">
        <v>42283.67</v>
      </c>
      <c r="H528" s="18"/>
      <c r="I528" s="18"/>
      <c r="J528" s="18"/>
      <c r="K528" s="18"/>
      <c r="L528" s="88">
        <f>SUM(F528:K528)</f>
        <v>127546.9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566279.71</v>
      </c>
      <c r="G529" s="89">
        <f t="shared" ref="G529:L529" si="37">SUM(G526:G528)</f>
        <v>257287.55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823567.26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68649.45</v>
      </c>
      <c r="G531" s="18">
        <v>33654.29</v>
      </c>
      <c r="H531" s="18">
        <v>881.1</v>
      </c>
      <c r="I531" s="18">
        <v>6499.81</v>
      </c>
      <c r="J531" s="18"/>
      <c r="K531" s="18">
        <v>767.91</v>
      </c>
      <c r="L531" s="88">
        <f>SUM(F531:K531)</f>
        <v>110452.56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36965.089999999997</v>
      </c>
      <c r="G532" s="18">
        <v>18121.54</v>
      </c>
      <c r="H532" s="18">
        <v>474.44</v>
      </c>
      <c r="I532" s="18">
        <v>3499.9</v>
      </c>
      <c r="J532" s="18"/>
      <c r="K532" s="18">
        <v>413.49</v>
      </c>
      <c r="L532" s="88">
        <f>SUM(F532:K532)</f>
        <v>59474.46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70409.69</v>
      </c>
      <c r="G533" s="18">
        <v>34517.22</v>
      </c>
      <c r="H533" s="18">
        <v>903.7</v>
      </c>
      <c r="I533" s="18">
        <v>6666.47</v>
      </c>
      <c r="J533" s="18"/>
      <c r="K533" s="18">
        <v>787.6</v>
      </c>
      <c r="L533" s="88">
        <f>SUM(F533:K533)</f>
        <v>113284.68000000001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176024.22999999998</v>
      </c>
      <c r="G534" s="89">
        <f t="shared" ref="G534:L534" si="38">SUM(G531:G533)</f>
        <v>86293.05</v>
      </c>
      <c r="H534" s="89">
        <f t="shared" si="38"/>
        <v>2259.2399999999998</v>
      </c>
      <c r="I534" s="89">
        <f t="shared" si="38"/>
        <v>16666.18</v>
      </c>
      <c r="J534" s="89">
        <f t="shared" si="38"/>
        <v>0</v>
      </c>
      <c r="K534" s="89">
        <f t="shared" si="38"/>
        <v>1969</v>
      </c>
      <c r="L534" s="89">
        <f t="shared" si="38"/>
        <v>283211.7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172784.97</v>
      </c>
      <c r="I541" s="18"/>
      <c r="J541" s="18"/>
      <c r="K541" s="18"/>
      <c r="L541" s="88">
        <f>SUM(F541:K541)</f>
        <v>172784.97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60027.61</v>
      </c>
      <c r="I542" s="18"/>
      <c r="J542" s="18"/>
      <c r="K542" s="18"/>
      <c r="L542" s="88">
        <f>SUM(F542:K542)</f>
        <v>60027.61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74208.13</v>
      </c>
      <c r="I543" s="18"/>
      <c r="J543" s="18"/>
      <c r="K543" s="18"/>
      <c r="L543" s="88">
        <f>SUM(F543:K543)</f>
        <v>74208.13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307020.71000000002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307020.71000000002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3170310.7199999997</v>
      </c>
      <c r="G545" s="89">
        <f t="shared" ref="G545:L545" si="41">G524+G529+G534+G539+G544</f>
        <v>1553449.47</v>
      </c>
      <c r="H545" s="89">
        <f t="shared" si="41"/>
        <v>1328407.22</v>
      </c>
      <c r="I545" s="89">
        <f t="shared" si="41"/>
        <v>37824.380000000005</v>
      </c>
      <c r="J545" s="89">
        <f t="shared" si="41"/>
        <v>2829.04</v>
      </c>
      <c r="K545" s="89">
        <f t="shared" si="41"/>
        <v>1969</v>
      </c>
      <c r="L545" s="89">
        <f t="shared" si="41"/>
        <v>6094789.8299999991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2172556.2699999996</v>
      </c>
      <c r="G549" s="87">
        <f>L526</f>
        <v>588263.54</v>
      </c>
      <c r="H549" s="87">
        <f>L531</f>
        <v>110452.56</v>
      </c>
      <c r="I549" s="87">
        <f>L536</f>
        <v>0</v>
      </c>
      <c r="J549" s="87">
        <f>L541</f>
        <v>172784.97</v>
      </c>
      <c r="K549" s="87">
        <f>SUM(F549:J549)</f>
        <v>3044057.34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876079.68999999983</v>
      </c>
      <c r="G550" s="87">
        <f>L527</f>
        <v>107756.81999999999</v>
      </c>
      <c r="H550" s="87">
        <f>L532</f>
        <v>59474.46</v>
      </c>
      <c r="I550" s="87">
        <f>L537</f>
        <v>0</v>
      </c>
      <c r="J550" s="87">
        <f>L542</f>
        <v>60027.61</v>
      </c>
      <c r="K550" s="87">
        <f>SUM(F550:J550)</f>
        <v>1103338.5799999998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1632354.2</v>
      </c>
      <c r="G551" s="87">
        <f>L528</f>
        <v>127546.9</v>
      </c>
      <c r="H551" s="87">
        <f>L533</f>
        <v>113284.68000000001</v>
      </c>
      <c r="I551" s="87">
        <f>L538</f>
        <v>0</v>
      </c>
      <c r="J551" s="87">
        <f>L543</f>
        <v>74208.13</v>
      </c>
      <c r="K551" s="87">
        <f>SUM(F551:J551)</f>
        <v>1947393.9099999997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4680990.1599999992</v>
      </c>
      <c r="G552" s="89">
        <f t="shared" si="42"/>
        <v>823567.26</v>
      </c>
      <c r="H552" s="89">
        <f t="shared" si="42"/>
        <v>283211.7</v>
      </c>
      <c r="I552" s="89">
        <f t="shared" si="42"/>
        <v>0</v>
      </c>
      <c r="J552" s="89">
        <f t="shared" si="42"/>
        <v>307020.71000000002</v>
      </c>
      <c r="K552" s="89">
        <f t="shared" si="42"/>
        <v>6094789.8300000001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12184.78</v>
      </c>
      <c r="I562" s="18">
        <v>147.97999999999999</v>
      </c>
      <c r="J562" s="18"/>
      <c r="K562" s="18"/>
      <c r="L562" s="88">
        <f>SUM(F562:K562)</f>
        <v>12332.76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>
        <v>5531.85</v>
      </c>
      <c r="I563" s="18">
        <v>64.739999999999995</v>
      </c>
      <c r="J563" s="18"/>
      <c r="K563" s="18"/>
      <c r="L563" s="88">
        <f>SUM(F563:K563)</f>
        <v>5596.59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>
        <v>2036.81</v>
      </c>
      <c r="I564" s="18">
        <v>247.02</v>
      </c>
      <c r="J564" s="18"/>
      <c r="K564" s="18"/>
      <c r="L564" s="88">
        <f>SUM(F564:K564)</f>
        <v>2283.83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19753.440000000002</v>
      </c>
      <c r="I565" s="89">
        <f t="shared" si="44"/>
        <v>459.74</v>
      </c>
      <c r="J565" s="89">
        <f t="shared" si="44"/>
        <v>0</v>
      </c>
      <c r="K565" s="89">
        <f t="shared" si="44"/>
        <v>0</v>
      </c>
      <c r="L565" s="89">
        <f t="shared" si="44"/>
        <v>20213.18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108867</v>
      </c>
      <c r="G567" s="18">
        <v>59698.39</v>
      </c>
      <c r="H567" s="18">
        <v>9054</v>
      </c>
      <c r="I567" s="18">
        <v>463.66</v>
      </c>
      <c r="J567" s="18"/>
      <c r="K567" s="18"/>
      <c r="L567" s="88">
        <f>SUM(F567:K567)</f>
        <v>178083.05000000002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58433</v>
      </c>
      <c r="G568" s="18">
        <v>20928.46</v>
      </c>
      <c r="H568" s="18"/>
      <c r="I568" s="18"/>
      <c r="J568" s="18"/>
      <c r="K568" s="18"/>
      <c r="L568" s="88">
        <f>SUM(F568:K568)</f>
        <v>79361.459999999992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167300</v>
      </c>
      <c r="G570" s="193">
        <f t="shared" ref="G570:L570" si="45">SUM(G567:G569)</f>
        <v>80626.850000000006</v>
      </c>
      <c r="H570" s="193">
        <f t="shared" si="45"/>
        <v>9054</v>
      </c>
      <c r="I570" s="193">
        <f t="shared" si="45"/>
        <v>463.66</v>
      </c>
      <c r="J570" s="193">
        <f t="shared" si="45"/>
        <v>0</v>
      </c>
      <c r="K570" s="193">
        <f t="shared" si="45"/>
        <v>0</v>
      </c>
      <c r="L570" s="193">
        <f t="shared" si="45"/>
        <v>257444.51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167300</v>
      </c>
      <c r="G571" s="89">
        <f t="shared" ref="G571:L571" si="46">G560+G565+G570</f>
        <v>80626.850000000006</v>
      </c>
      <c r="H571" s="89">
        <f t="shared" si="46"/>
        <v>28807.440000000002</v>
      </c>
      <c r="I571" s="89">
        <f t="shared" si="46"/>
        <v>923.40000000000009</v>
      </c>
      <c r="J571" s="89">
        <f t="shared" si="46"/>
        <v>0</v>
      </c>
      <c r="K571" s="89">
        <f t="shared" si="46"/>
        <v>0</v>
      </c>
      <c r="L571" s="89">
        <f t="shared" si="46"/>
        <v>277657.69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1035</f>
        <v>1035</v>
      </c>
      <c r="I575" s="87">
        <f>SUM(F575:H575)</f>
        <v>1035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f>12500</f>
        <v>12500</v>
      </c>
      <c r="I576" s="87">
        <f t="shared" ref="I576:I587" si="47">SUM(F576:H576)</f>
        <v>12500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62025.4</f>
        <v>62025.4</v>
      </c>
      <c r="I579" s="87">
        <f t="shared" si="47"/>
        <v>62025.4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f>147648.99</f>
        <v>147648.99</v>
      </c>
      <c r="G580" s="18"/>
      <c r="H580" s="18">
        <f>233026.54+34193.2</f>
        <v>267219.74</v>
      </c>
      <c r="I580" s="87">
        <f t="shared" si="47"/>
        <v>414868.73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4742.4+185460+560</f>
        <v>190762.4</v>
      </c>
      <c r="G582" s="18"/>
      <c r="H582" s="18">
        <f>158985.31</f>
        <v>158985.31</v>
      </c>
      <c r="I582" s="87">
        <f t="shared" si="47"/>
        <v>349747.70999999996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201925</v>
      </c>
      <c r="I584" s="87">
        <f t="shared" si="47"/>
        <v>201925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266005.81-6820.66</f>
        <v>259185.15</v>
      </c>
      <c r="I591" s="18">
        <f>143233.9+6820.66</f>
        <v>150054.56</v>
      </c>
      <c r="J591" s="18">
        <f>272826.48-11874.6-11874.6</f>
        <v>249077.27999999997</v>
      </c>
      <c r="K591" s="104">
        <f t="shared" ref="K591:K597" si="48">SUM(H591:J591)</f>
        <v>658316.99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48491+87534.72+36759.25</f>
        <v>172784.97</v>
      </c>
      <c r="I592" s="18">
        <f>60027.61</f>
        <v>60027.61</v>
      </c>
      <c r="J592" s="18">
        <v>74208.13</v>
      </c>
      <c r="K592" s="104">
        <f t="shared" si="48"/>
        <v>307020.71000000002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11874.6+11874.6</f>
        <v>23749.200000000001</v>
      </c>
      <c r="K593" s="104">
        <f t="shared" si="48"/>
        <v>23749.200000000001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13761.14</f>
        <v>13761.14</v>
      </c>
      <c r="J594" s="18">
        <v>57099.22</v>
      </c>
      <c r="K594" s="104">
        <f t="shared" si="48"/>
        <v>70860.36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8899.81</v>
      </c>
      <c r="J595" s="18">
        <f>2000+8649.67</f>
        <v>10649.67</v>
      </c>
      <c r="K595" s="104">
        <f t="shared" si="48"/>
        <v>19549.48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431970.12</v>
      </c>
      <c r="I598" s="108">
        <f>SUM(I591:I597)</f>
        <v>232743.12</v>
      </c>
      <c r="J598" s="108">
        <f>SUM(J591:J597)</f>
        <v>414783.49999999994</v>
      </c>
      <c r="K598" s="108">
        <f>SUM(K591:K597)</f>
        <v>1079496.74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320833.37</v>
      </c>
      <c r="I604" s="18">
        <f>J229+J309</f>
        <v>185224.82</v>
      </c>
      <c r="J604" s="18">
        <f>J247+J328</f>
        <v>394476.57000000007</v>
      </c>
      <c r="K604" s="104">
        <f>SUM(H604:J604)</f>
        <v>900534.76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320833.37</v>
      </c>
      <c r="I605" s="108">
        <f>SUM(I602:I604)</f>
        <v>185224.82</v>
      </c>
      <c r="J605" s="108">
        <f>SUM(J602:J604)</f>
        <v>394476.57000000007</v>
      </c>
      <c r="K605" s="108">
        <f>SUM(K602:K604)</f>
        <v>900534.76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4500+372</f>
        <v>4872</v>
      </c>
      <c r="G613" s="18">
        <f>28.45+344.26+637.2+3.65+1.34+15.23</f>
        <v>1030.1300000000001</v>
      </c>
      <c r="H613" s="18"/>
      <c r="I613" s="18"/>
      <c r="J613" s="18"/>
      <c r="K613" s="18"/>
      <c r="L613" s="88">
        <f>SUM(F613:K613)</f>
        <v>5902.13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4872</v>
      </c>
      <c r="G614" s="108">
        <f t="shared" si="49"/>
        <v>1030.1300000000001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5902.13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1219330.23</v>
      </c>
      <c r="H617" s="109">
        <f>SUM(F52)</f>
        <v>1219330.23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102485.35999999999</v>
      </c>
      <c r="H618" s="109">
        <f>SUM(G52)</f>
        <v>102485.36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420983.61</v>
      </c>
      <c r="H619" s="109">
        <f>SUM(H52)</f>
        <v>420983.61000000004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280517</v>
      </c>
      <c r="H621" s="109">
        <f>SUM(J52)</f>
        <v>280517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863225.34000000008</v>
      </c>
      <c r="H622" s="109">
        <f>F476</f>
        <v>863225.3400000073</v>
      </c>
      <c r="I622" s="121" t="s">
        <v>101</v>
      </c>
      <c r="J622" s="109">
        <f t="shared" ref="J622:J655" si="50">G622-H622</f>
        <v>-7.2177499532699585E-9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27894.36</v>
      </c>
      <c r="H623" s="109">
        <f>G476</f>
        <v>27894.35999999987</v>
      </c>
      <c r="I623" s="121" t="s">
        <v>102</v>
      </c>
      <c r="J623" s="109">
        <f t="shared" si="50"/>
        <v>1.3096723705530167E-10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313405.15000000002</v>
      </c>
      <c r="H624" s="109">
        <f>H476</f>
        <v>313405.15000000002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280517</v>
      </c>
      <c r="H626" s="109">
        <f>J476</f>
        <v>280517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30295753.610000003</v>
      </c>
      <c r="H627" s="104">
        <f>SUM(F468)</f>
        <v>30295753.610000003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644778.53999999992</v>
      </c>
      <c r="H628" s="104">
        <f>SUM(G468)</f>
        <v>644778.53999999992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832649.0199999999</v>
      </c>
      <c r="H629" s="104">
        <f>SUM(H468)</f>
        <v>832649.0199999999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421</v>
      </c>
      <c r="H631" s="104">
        <f>SUM(J468)</f>
        <v>421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30620109.899999995</v>
      </c>
      <c r="H632" s="104">
        <f>SUM(F472)</f>
        <v>30620109.899999995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793262.54999999993</v>
      </c>
      <c r="H633" s="104">
        <f>SUM(H472)</f>
        <v>793262.54999999993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3470.12</v>
      </c>
      <c r="H634" s="104">
        <f>I369</f>
        <v>3470.12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644778.54</v>
      </c>
      <c r="H635" s="104">
        <f>SUM(G472)</f>
        <v>644778.54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421</v>
      </c>
      <c r="H637" s="164">
        <f>SUM(J468)</f>
        <v>421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280517</v>
      </c>
      <c r="H640" s="104">
        <f>SUM(G461)</f>
        <v>280517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280517</v>
      </c>
      <c r="H642" s="104">
        <f>SUM(I461)</f>
        <v>280517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421</v>
      </c>
      <c r="H644" s="104">
        <f>H408</f>
        <v>421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421</v>
      </c>
      <c r="H646" s="104">
        <f>L408</f>
        <v>421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1079496.74</v>
      </c>
      <c r="H647" s="104">
        <f>L208+L226+L244</f>
        <v>1079496.74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900534.76</v>
      </c>
      <c r="H648" s="104">
        <f>(J257+J338)-(J255+J336)</f>
        <v>900534.76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431970.12</v>
      </c>
      <c r="H649" s="104">
        <f>H598</f>
        <v>431970.12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232743.12</v>
      </c>
      <c r="H650" s="104">
        <f>I598</f>
        <v>232743.12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414783.5</v>
      </c>
      <c r="H651" s="104">
        <f>J598</f>
        <v>414783.49999999994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21973.84</v>
      </c>
      <c r="H652" s="104">
        <f>K263+K345</f>
        <v>21973.84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12272491.719999995</v>
      </c>
      <c r="G660" s="19">
        <f>(L229+L309+L359)</f>
        <v>6154137.7400000012</v>
      </c>
      <c r="H660" s="19">
        <f>(L247+L328+L360)</f>
        <v>11154613.470000001</v>
      </c>
      <c r="I660" s="19">
        <f>SUM(F660:H660)</f>
        <v>29581242.93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171599.42896221468</v>
      </c>
      <c r="G661" s="19">
        <f>(L359/IF(SUM(L358:L360)=0,1,SUM(L358:L360))*(SUM(G97:G110)))</f>
        <v>99169.225080880467</v>
      </c>
      <c r="H661" s="19">
        <f>(L360/IF(SUM(L358:L360)=0,1,SUM(L358:L360))*(SUM(G97:G110)))</f>
        <v>180307.69595690482</v>
      </c>
      <c r="I661" s="19">
        <f>SUM(F661:H661)</f>
        <v>451076.35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431970.12</v>
      </c>
      <c r="G662" s="19">
        <f>(L226+L306)-(J226+J306)</f>
        <v>232743.12</v>
      </c>
      <c r="H662" s="19">
        <f>(L244+L325)-(J244+J325)</f>
        <v>414783.5</v>
      </c>
      <c r="I662" s="19">
        <f>SUM(F662:H662)</f>
        <v>1079496.74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659244.76</v>
      </c>
      <c r="G663" s="199">
        <f>SUM(G575:G587)+SUM(I602:I604)+L612</f>
        <v>185224.82</v>
      </c>
      <c r="H663" s="199">
        <f>SUM(H575:H587)+SUM(J602:J604)+L613</f>
        <v>1104069.1499999999</v>
      </c>
      <c r="I663" s="19">
        <f>SUM(F663:H663)</f>
        <v>1948538.73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11009677.41103778</v>
      </c>
      <c r="G664" s="19">
        <f>G660-SUM(G661:G663)</f>
        <v>5637000.5749191204</v>
      </c>
      <c r="H664" s="19">
        <f>H660-SUM(H661:H663)</f>
        <v>9455453.1240430959</v>
      </c>
      <c r="I664" s="19">
        <f>I660-SUM(I661:I663)</f>
        <v>26102131.109999999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360.73+337.62</f>
        <v>698.35</v>
      </c>
      <c r="G665" s="248">
        <v>375.78</v>
      </c>
      <c r="H665" s="248">
        <v>715.2</v>
      </c>
      <c r="I665" s="19">
        <f>SUM(F665:H665)</f>
        <v>1789.3300000000002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15765.27</v>
      </c>
      <c r="G667" s="19">
        <f>ROUND(G664/G665,2)</f>
        <v>15000.8</v>
      </c>
      <c r="H667" s="19">
        <f>ROUND(H664/H665,2)</f>
        <v>13220.71</v>
      </c>
      <c r="I667" s="19">
        <f>ROUND(I664/I665,2)</f>
        <v>14587.66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-30.72</v>
      </c>
      <c r="I670" s="19">
        <f>SUM(F670:H670)</f>
        <v>-30.72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15765.27</v>
      </c>
      <c r="G672" s="19">
        <f>ROUND((G664+G669)/(G665+G670),2)</f>
        <v>15000.8</v>
      </c>
      <c r="H672" s="19">
        <f>ROUND((H664+H669)/(H665+H670),2)</f>
        <v>13814.07</v>
      </c>
      <c r="I672" s="19">
        <f>ROUND((I664+I669)/(I665+I670),2)</f>
        <v>14842.48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3" sqref="C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Sanborn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7637050.5600000005</v>
      </c>
      <c r="C9" s="229">
        <f>'DOE25'!G197+'DOE25'!G215+'DOE25'!G233+'DOE25'!G276+'DOE25'!G295+'DOE25'!G314</f>
        <v>3425617.9200000004</v>
      </c>
    </row>
    <row r="10" spans="1:3" x14ac:dyDescent="0.2">
      <c r="A10" t="s">
        <v>779</v>
      </c>
      <c r="B10" s="240">
        <v>6976019.5700000003</v>
      </c>
      <c r="C10" s="240">
        <v>3131723.851911216</v>
      </c>
    </row>
    <row r="11" spans="1:3" x14ac:dyDescent="0.2">
      <c r="A11" t="s">
        <v>780</v>
      </c>
      <c r="B11" s="240">
        <v>161976.85999999999</v>
      </c>
      <c r="C11" s="240">
        <v>72715.793129531565</v>
      </c>
    </row>
    <row r="12" spans="1:3" x14ac:dyDescent="0.2">
      <c r="A12" t="s">
        <v>781</v>
      </c>
      <c r="B12" s="240">
        <f>488570.42+4088.65+2201.58+4193.48</f>
        <v>499054.13</v>
      </c>
      <c r="C12" s="240">
        <f>219332.474959253+719.86+387.62+738.32</f>
        <v>221178.274959253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7637050.5600000005</v>
      </c>
      <c r="C13" s="231">
        <f>SUM(C10:C12)</f>
        <v>3425617.9200000009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2660097.34</v>
      </c>
      <c r="C18" s="229">
        <f>'DOE25'!G198+'DOE25'!G216+'DOE25'!G234+'DOE25'!G277+'DOE25'!G296+'DOE25'!G315</f>
        <v>1290495.7199999997</v>
      </c>
    </row>
    <row r="19" spans="1:3" x14ac:dyDescent="0.2">
      <c r="A19" t="s">
        <v>779</v>
      </c>
      <c r="B19" s="240">
        <v>1708709.16</v>
      </c>
      <c r="C19" s="274">
        <v>828947.80749068176</v>
      </c>
    </row>
    <row r="20" spans="1:3" x14ac:dyDescent="0.2">
      <c r="A20" t="s">
        <v>780</v>
      </c>
      <c r="B20" s="240">
        <v>564778.29</v>
      </c>
      <c r="C20" s="274">
        <v>273991.46453562437</v>
      </c>
    </row>
    <row r="21" spans="1:3" x14ac:dyDescent="0.2">
      <c r="A21" t="s">
        <v>781</v>
      </c>
      <c r="B21" s="240">
        <v>386609.89</v>
      </c>
      <c r="C21" s="274">
        <v>187556.4479736936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2660097.3400000003</v>
      </c>
      <c r="C22" s="231">
        <f>SUM(C19:C21)</f>
        <v>1290495.7199999997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 t="e">
        <f>'DOE25'!F199+'DOE25'!F217+'DOE25'!F235+'DOE25'!F278+'DOE25'!F297+'DOE25'!F316</f>
        <v>#VALUE!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e">
        <f>IF(B27=B31,IF(C27=C31,"Check Total OK","Check Total Error"),"Check Total Error")</f>
        <v>#VALUE!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285277.5</v>
      </c>
      <c r="C36" s="235">
        <f>'DOE25'!G200+'DOE25'!G218+'DOE25'!G236+'DOE25'!G279+'DOE25'!G298+'DOE25'!G317</f>
        <v>72821.98</v>
      </c>
    </row>
    <row r="37" spans="1:3" x14ac:dyDescent="0.2">
      <c r="A37" t="s">
        <v>779</v>
      </c>
      <c r="B37" s="240">
        <v>283767.5</v>
      </c>
      <c r="C37" s="275">
        <f>+C36-C39</f>
        <v>72706.464999999997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285277.5-283767.5</f>
        <v>1510</v>
      </c>
      <c r="C39" s="240">
        <f>+B39*0.0765</f>
        <v>115.515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285277.5</v>
      </c>
      <c r="C40" s="231">
        <f>SUM(C37:C39)</f>
        <v>72821.98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Sanborn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17689329.109999999</v>
      </c>
      <c r="D5" s="20">
        <f>SUM('DOE25'!L197:L200)+SUM('DOE25'!L215:L218)+SUM('DOE25'!L233:L236)-F5-G5</f>
        <v>16893076.689999998</v>
      </c>
      <c r="E5" s="243"/>
      <c r="F5" s="255">
        <f>SUM('DOE25'!J197:J200)+SUM('DOE25'!J215:J218)+SUM('DOE25'!J233:J236)</f>
        <v>736091.89000000013</v>
      </c>
      <c r="G5" s="53">
        <f>SUM('DOE25'!K197:K200)+SUM('DOE25'!K215:K218)+SUM('DOE25'!K233:K236)</f>
        <v>60160.53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2108686.3199999998</v>
      </c>
      <c r="D6" s="20">
        <f>'DOE25'!L202+'DOE25'!L220+'DOE25'!L238-F6-G6</f>
        <v>2106436.73</v>
      </c>
      <c r="E6" s="243"/>
      <c r="F6" s="255">
        <f>'DOE25'!J202+'DOE25'!J220+'DOE25'!J238</f>
        <v>1331.59</v>
      </c>
      <c r="G6" s="53">
        <f>'DOE25'!K202+'DOE25'!K220+'DOE25'!K238</f>
        <v>918</v>
      </c>
      <c r="H6" s="259"/>
    </row>
    <row r="7" spans="1:9" x14ac:dyDescent="0.2">
      <c r="A7" s="32">
        <v>2200</v>
      </c>
      <c r="B7" t="s">
        <v>834</v>
      </c>
      <c r="C7" s="245">
        <f t="shared" si="0"/>
        <v>553378.17999999993</v>
      </c>
      <c r="D7" s="20">
        <f>'DOE25'!L203+'DOE25'!L221+'DOE25'!L239-F7-G7</f>
        <v>541811.27999999991</v>
      </c>
      <c r="E7" s="243"/>
      <c r="F7" s="255">
        <f>'DOE25'!J203+'DOE25'!J221+'DOE25'!J239</f>
        <v>2382.9</v>
      </c>
      <c r="G7" s="53">
        <f>'DOE25'!K203+'DOE25'!K221+'DOE25'!K239</f>
        <v>9184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356522.97000000015</v>
      </c>
      <c r="D8" s="243"/>
      <c r="E8" s="20">
        <f>'DOE25'!L204+'DOE25'!L222+'DOE25'!L240-F8-G8-D9-D11</f>
        <v>328824.63000000012</v>
      </c>
      <c r="F8" s="255">
        <f>'DOE25'!J204+'DOE25'!J222+'DOE25'!J240</f>
        <v>0</v>
      </c>
      <c r="G8" s="53">
        <f>'DOE25'!K204+'DOE25'!K222+'DOE25'!K240</f>
        <v>27698.34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32130</v>
      </c>
      <c r="D9" s="244">
        <v>32130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27500</v>
      </c>
      <c r="D10" s="243"/>
      <c r="E10" s="244">
        <v>27500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341915</v>
      </c>
      <c r="D11" s="244">
        <v>341915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1754434.54</v>
      </c>
      <c r="D12" s="20">
        <f>'DOE25'!L205+'DOE25'!L223+'DOE25'!L241-F12-G12</f>
        <v>1728246.69</v>
      </c>
      <c r="E12" s="243"/>
      <c r="F12" s="255">
        <f>'DOE25'!J205+'DOE25'!J223+'DOE25'!J241</f>
        <v>0</v>
      </c>
      <c r="G12" s="53">
        <f>'DOE25'!K205+'DOE25'!K223+'DOE25'!K241</f>
        <v>26187.85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369439.31999999995</v>
      </c>
      <c r="D13" s="243"/>
      <c r="E13" s="20">
        <f>'DOE25'!L206+'DOE25'!L224+'DOE25'!L242-F13-G13</f>
        <v>365001.28999999992</v>
      </c>
      <c r="F13" s="255">
        <f>'DOE25'!J206+'DOE25'!J224+'DOE25'!J242</f>
        <v>2108.0299999999997</v>
      </c>
      <c r="G13" s="53">
        <f>'DOE25'!K206+'DOE25'!K224+'DOE25'!K242</f>
        <v>2330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3321638.7399999998</v>
      </c>
      <c r="D14" s="20">
        <f>'DOE25'!L207+'DOE25'!L225+'DOE25'!L243-F14-G14</f>
        <v>3208688.34</v>
      </c>
      <c r="E14" s="243"/>
      <c r="F14" s="255">
        <f>'DOE25'!J207+'DOE25'!J225+'DOE25'!J243</f>
        <v>107045.35</v>
      </c>
      <c r="G14" s="53">
        <f>'DOE25'!K207+'DOE25'!K225+'DOE25'!K243</f>
        <v>5905.05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1079496.74</v>
      </c>
      <c r="D15" s="20">
        <f>'DOE25'!L208+'DOE25'!L226+'DOE25'!L244-F15-G15</f>
        <v>1079496.74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536230.91999999993</v>
      </c>
      <c r="D16" s="243"/>
      <c r="E16" s="20">
        <f>'DOE25'!L209+'DOE25'!L227+'DOE25'!L245-F16-G16</f>
        <v>536230.91999999993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2500</v>
      </c>
      <c r="D19" s="20">
        <f>'DOE25'!L253-F19-G19</f>
        <v>0</v>
      </c>
      <c r="E19" s="243"/>
      <c r="F19" s="255">
        <f>'DOE25'!J253</f>
        <v>0</v>
      </c>
      <c r="G19" s="53">
        <f>'DOE25'!K253</f>
        <v>2500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137043.72</v>
      </c>
      <c r="D22" s="243"/>
      <c r="E22" s="243"/>
      <c r="F22" s="255">
        <f>'DOE25'!L255+'DOE25'!L336</f>
        <v>137043.72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2315390.5</v>
      </c>
      <c r="D25" s="243"/>
      <c r="E25" s="243"/>
      <c r="F25" s="258"/>
      <c r="G25" s="256"/>
      <c r="H25" s="257">
        <f>'DOE25'!L260+'DOE25'!L261+'DOE25'!L341+'DOE25'!L342</f>
        <v>2315390.5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644778.54</v>
      </c>
      <c r="D29" s="20">
        <f>'DOE25'!L358+'DOE25'!L359+'DOE25'!L360-'DOE25'!I367-F29-G29</f>
        <v>644041.79</v>
      </c>
      <c r="E29" s="243"/>
      <c r="F29" s="255">
        <f>'DOE25'!J358+'DOE25'!J359+'DOE25'!J360</f>
        <v>439</v>
      </c>
      <c r="G29" s="53">
        <f>'DOE25'!K358+'DOE25'!K359+'DOE25'!K360</f>
        <v>297.75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793262.54999999993</v>
      </c>
      <c r="D31" s="20">
        <f>'DOE25'!L290+'DOE25'!L309+'DOE25'!L328+'DOE25'!L333+'DOE25'!L334+'DOE25'!L335-F31-G31</f>
        <v>741672.03999999992</v>
      </c>
      <c r="E31" s="243"/>
      <c r="F31" s="255">
        <f>'DOE25'!J290+'DOE25'!J309+'DOE25'!J328+'DOE25'!J333+'DOE25'!J334+'DOE25'!J335</f>
        <v>51575</v>
      </c>
      <c r="G31" s="53">
        <f>'DOE25'!K290+'DOE25'!K309+'DOE25'!K328+'DOE25'!K333+'DOE25'!K334+'DOE25'!K335</f>
        <v>15.509999999999998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27317515.299999997</v>
      </c>
      <c r="E33" s="246">
        <f>SUM(E5:E31)</f>
        <v>1257556.8399999999</v>
      </c>
      <c r="F33" s="246">
        <f>SUM(F5:F31)</f>
        <v>1038017.4800000001</v>
      </c>
      <c r="G33" s="246">
        <f>SUM(G5:G31)</f>
        <v>135197.03</v>
      </c>
      <c r="H33" s="246">
        <f>SUM(H5:H31)</f>
        <v>2315390.5</v>
      </c>
    </row>
    <row r="35" spans="2:8" ht="12" thickBot="1" x14ac:dyDescent="0.25">
      <c r="B35" s="253" t="s">
        <v>847</v>
      </c>
      <c r="D35" s="254">
        <f>E33</f>
        <v>1257556.8399999999</v>
      </c>
      <c r="E35" s="249"/>
    </row>
    <row r="36" spans="2:8" ht="12" thickTop="1" x14ac:dyDescent="0.2">
      <c r="B36" t="s">
        <v>815</v>
      </c>
      <c r="D36" s="20">
        <f>D33</f>
        <v>27317515.299999997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8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Sanborn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201584.99</v>
      </c>
      <c r="D8" s="95">
        <f>'DOE25'!G9</f>
        <v>83405.62</v>
      </c>
      <c r="E8" s="95">
        <f>'DOE25'!H9</f>
        <v>242990.41</v>
      </c>
      <c r="F8" s="95">
        <f>'DOE25'!I9</f>
        <v>0</v>
      </c>
      <c r="G8" s="95">
        <f>'DOE25'!J9</f>
        <v>280517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100741.3</v>
      </c>
      <c r="D11" s="95">
        <f>'DOE25'!G12</f>
        <v>5980.78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5645.71</v>
      </c>
      <c r="D12" s="95">
        <f>'DOE25'!G13</f>
        <v>11487.71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889470.35</v>
      </c>
      <c r="D13" s="95">
        <f>'DOE25'!G14</f>
        <v>1611.25</v>
      </c>
      <c r="E13" s="95">
        <f>'DOE25'!H14</f>
        <v>177993.2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21887.88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1219330.23</v>
      </c>
      <c r="D18" s="41">
        <f>SUM(D8:D17)</f>
        <v>102485.35999999999</v>
      </c>
      <c r="E18" s="41">
        <f>SUM(E8:E17)</f>
        <v>420983.61</v>
      </c>
      <c r="F18" s="41">
        <f>SUM(F8:F17)</f>
        <v>0</v>
      </c>
      <c r="G18" s="41">
        <f>SUM(G8:G17)</f>
        <v>280517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106722.08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227517.73</v>
      </c>
      <c r="D23" s="95">
        <f>'DOE25'!G24</f>
        <v>64057.35</v>
      </c>
      <c r="E23" s="95">
        <f>'DOE25'!H24</f>
        <v>856.38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103315.59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10533.65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25271.57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356104.89</v>
      </c>
      <c r="D31" s="41">
        <f>SUM(D21:D30)</f>
        <v>74591</v>
      </c>
      <c r="E31" s="41">
        <f>SUM(E21:E30)</f>
        <v>107578.46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27894.36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313405.15000000002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5491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280517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272533.58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585200.76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863225.34000000008</v>
      </c>
      <c r="D50" s="41">
        <f>SUM(D34:D49)</f>
        <v>27894.36</v>
      </c>
      <c r="E50" s="41">
        <f>SUM(E34:E49)</f>
        <v>313405.15000000002</v>
      </c>
      <c r="F50" s="41">
        <f>SUM(F34:F49)</f>
        <v>0</v>
      </c>
      <c r="G50" s="41">
        <f>SUM(G34:G49)</f>
        <v>280517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1219330.23</v>
      </c>
      <c r="D51" s="41">
        <f>D50+D31</f>
        <v>102485.36</v>
      </c>
      <c r="E51" s="41">
        <f>E50+E31</f>
        <v>420983.61000000004</v>
      </c>
      <c r="F51" s="41">
        <f>F50+F31</f>
        <v>0</v>
      </c>
      <c r="G51" s="41">
        <f>G50+G31</f>
        <v>280517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19000454.140000001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3805704.44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3163.46</v>
      </c>
      <c r="D59" s="95">
        <f>'DOE25'!G96</f>
        <v>2.25</v>
      </c>
      <c r="E59" s="95">
        <f>'DOE25'!H96</f>
        <v>13.53</v>
      </c>
      <c r="F59" s="95">
        <f>'DOE25'!I96</f>
        <v>0</v>
      </c>
      <c r="G59" s="95">
        <f>'DOE25'!J96</f>
        <v>421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451066.35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44218.2</v>
      </c>
      <c r="D61" s="95">
        <f>SUM('DOE25'!G98:G110)</f>
        <v>10</v>
      </c>
      <c r="E61" s="95">
        <f>SUM('DOE25'!H98:H110)</f>
        <v>144227.43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3853086.1</v>
      </c>
      <c r="D62" s="130">
        <f>SUM(D57:D61)</f>
        <v>451078.6</v>
      </c>
      <c r="E62" s="130">
        <f>SUM(E57:E61)</f>
        <v>144240.95999999999</v>
      </c>
      <c r="F62" s="130">
        <f>SUM(F57:F61)</f>
        <v>0</v>
      </c>
      <c r="G62" s="130">
        <f>SUM(G57:G61)</f>
        <v>421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22853540.240000002</v>
      </c>
      <c r="D63" s="22">
        <f>D56+D62</f>
        <v>451078.6</v>
      </c>
      <c r="E63" s="22">
        <f>E56+E62</f>
        <v>144240.95999999999</v>
      </c>
      <c r="F63" s="22">
        <f>F56+F62</f>
        <v>0</v>
      </c>
      <c r="G63" s="22">
        <f>G56+G62</f>
        <v>421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3787410.87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2567313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4083.2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6358807.0700000003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724752.73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202224.3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28238.400000000001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7709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955215.43</v>
      </c>
      <c r="D78" s="130">
        <f>SUM(D72:D77)</f>
        <v>7709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7314022.5</v>
      </c>
      <c r="D81" s="130">
        <f>SUM(D79:D80)+D78+D70</f>
        <v>7709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128190.87</v>
      </c>
      <c r="D88" s="95">
        <f>SUM('DOE25'!G153:G161)</f>
        <v>164017.1</v>
      </c>
      <c r="E88" s="95">
        <f>SUM('DOE25'!H153:H161)</f>
        <v>688408.05999999994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128190.87</v>
      </c>
      <c r="D91" s="131">
        <f>SUM(D85:D90)</f>
        <v>164017.1</v>
      </c>
      <c r="E91" s="131">
        <f>SUM(E85:E90)</f>
        <v>688408.05999999994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21973.84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21973.84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30295753.610000003</v>
      </c>
      <c r="D104" s="86">
        <f>D63+D81+D91+D103</f>
        <v>644778.53999999992</v>
      </c>
      <c r="E104" s="86">
        <f>E63+E81+E91+E103</f>
        <v>832649.0199999999</v>
      </c>
      <c r="F104" s="86">
        <f>F63+F81+F91+F103</f>
        <v>0</v>
      </c>
      <c r="G104" s="86">
        <f>G63+G81+G103</f>
        <v>421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12326701.689999999</v>
      </c>
      <c r="D109" s="24" t="s">
        <v>289</v>
      </c>
      <c r="E109" s="95">
        <f>('DOE25'!L276)+('DOE25'!L295)+('DOE25'!L314)</f>
        <v>175984.8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4624878.93</v>
      </c>
      <c r="D110" s="24" t="s">
        <v>289</v>
      </c>
      <c r="E110" s="95">
        <f>('DOE25'!L277)+('DOE25'!L296)+('DOE25'!L315)</f>
        <v>395669.14999999997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201925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535823.49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2500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17691829.109999996</v>
      </c>
      <c r="D115" s="86">
        <f>SUM(D109:D114)</f>
        <v>0</v>
      </c>
      <c r="E115" s="86">
        <f>SUM(E109:E114)</f>
        <v>571653.94999999995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2108686.3199999998</v>
      </c>
      <c r="D118" s="24" t="s">
        <v>289</v>
      </c>
      <c r="E118" s="95">
        <f>+('DOE25'!L281)+('DOE25'!L300)+('DOE25'!L319)</f>
        <v>85165.36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553378.17999999993</v>
      </c>
      <c r="D119" s="24" t="s">
        <v>289</v>
      </c>
      <c r="E119" s="95">
        <f>+('DOE25'!L282)+('DOE25'!L301)+('DOE25'!L320)</f>
        <v>32088.760000000002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730567.97000000009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1754434.54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369439.31999999995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3321638.7399999998</v>
      </c>
      <c r="D123" s="24" t="s">
        <v>289</v>
      </c>
      <c r="E123" s="95">
        <f>+('DOE25'!L286)+('DOE25'!L305)+('DOE25'!L324)</f>
        <v>104354.48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1079496.74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536230.91999999993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644778.54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10453872.73</v>
      </c>
      <c r="D128" s="86">
        <f>SUM(D118:D127)</f>
        <v>644778.54</v>
      </c>
      <c r="E128" s="86">
        <f>SUM(E118:E127)</f>
        <v>221608.59999999998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137043.72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1495515.85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819874.65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21973.84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421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-421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2474408.06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30620109.899999995</v>
      </c>
      <c r="D145" s="86">
        <f>(D115+D128+D144)</f>
        <v>644778.54</v>
      </c>
      <c r="E145" s="86">
        <f>(E115+E128+E144)</f>
        <v>793262.54999999993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08/04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29770200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20437531.740000002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20437531.740000002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1495516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1495516</v>
      </c>
    </row>
    <row r="159" spans="1:9" x14ac:dyDescent="0.2">
      <c r="A159" s="22" t="s">
        <v>35</v>
      </c>
      <c r="B159" s="137">
        <f>'DOE25'!F498</f>
        <v>18942015.740000002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18942015.740000002</v>
      </c>
    </row>
    <row r="160" spans="1:9" x14ac:dyDescent="0.2">
      <c r="A160" s="22" t="s">
        <v>36</v>
      </c>
      <c r="B160" s="137">
        <f>'DOE25'!F499</f>
        <v>12897949.619999999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12897949.619999999</v>
      </c>
    </row>
    <row r="161" spans="1:7" x14ac:dyDescent="0.2">
      <c r="A161" s="22" t="s">
        <v>37</v>
      </c>
      <c r="B161" s="137">
        <f>'DOE25'!F500</f>
        <v>31839965.359999999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31839965.359999999</v>
      </c>
    </row>
    <row r="162" spans="1:7" x14ac:dyDescent="0.2">
      <c r="A162" s="22" t="s">
        <v>38</v>
      </c>
      <c r="B162" s="137">
        <f>'DOE25'!F501</f>
        <v>1420199.81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1420199.81</v>
      </c>
    </row>
    <row r="163" spans="1:7" x14ac:dyDescent="0.2">
      <c r="A163" s="22" t="s">
        <v>39</v>
      </c>
      <c r="B163" s="137">
        <f>'DOE25'!F502</f>
        <v>854191.29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854191.29</v>
      </c>
    </row>
    <row r="164" spans="1:7" x14ac:dyDescent="0.2">
      <c r="A164" s="22" t="s">
        <v>246</v>
      </c>
      <c r="B164" s="137">
        <f>'DOE25'!F503</f>
        <v>2274391.1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2274391.1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Sanborn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15765</v>
      </c>
    </row>
    <row r="5" spans="1:4" x14ac:dyDescent="0.2">
      <c r="B5" t="s">
        <v>704</v>
      </c>
      <c r="C5" s="179">
        <f>IF('DOE25'!G665+'DOE25'!G670=0,0,ROUND('DOE25'!G672,0))</f>
        <v>15001</v>
      </c>
    </row>
    <row r="6" spans="1:4" x14ac:dyDescent="0.2">
      <c r="B6" t="s">
        <v>62</v>
      </c>
      <c r="C6" s="179">
        <f>IF('DOE25'!H665+'DOE25'!H670=0,0,ROUND('DOE25'!H672,0))</f>
        <v>13814</v>
      </c>
    </row>
    <row r="7" spans="1:4" x14ac:dyDescent="0.2">
      <c r="B7" t="s">
        <v>705</v>
      </c>
      <c r="C7" s="179">
        <f>IF('DOE25'!I665+'DOE25'!I670=0,0,ROUND('DOE25'!I672,0))</f>
        <v>14842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12502686</v>
      </c>
      <c r="D10" s="182">
        <f>ROUND((C10/$C$28)*100,1)</f>
        <v>41.7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5020548</v>
      </c>
      <c r="D11" s="182">
        <f>ROUND((C11/$C$28)*100,1)</f>
        <v>16.8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201925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535823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2193852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585467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1266799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1754435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369439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3425993</v>
      </c>
      <c r="D20" s="182">
        <f t="shared" si="0"/>
        <v>11.4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1079497</v>
      </c>
      <c r="D21" s="182">
        <f t="shared" si="0"/>
        <v>3.6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2500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819875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193702.65000000002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29952541.649999999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137044</v>
      </c>
    </row>
    <row r="30" spans="1:4" x14ac:dyDescent="0.2">
      <c r="B30" s="187" t="s">
        <v>729</v>
      </c>
      <c r="C30" s="180">
        <f>SUM(C28:C29)</f>
        <v>30089585.649999999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1495516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19000454</v>
      </c>
      <c r="D35" s="182">
        <f t="shared" ref="D35:D40" si="1">ROUND((C35/$C$41)*100,1)</f>
        <v>60.7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3997750.450000003</v>
      </c>
      <c r="D36" s="182">
        <f t="shared" si="1"/>
        <v>12.8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6354724</v>
      </c>
      <c r="D37" s="182">
        <f t="shared" si="1"/>
        <v>20.3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967008</v>
      </c>
      <c r="D38" s="182">
        <f t="shared" si="1"/>
        <v>3.1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980616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31300552.450000003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Sanborn Regional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2014-04-29T12:07:51Z</cp:lastPrinted>
  <dcterms:created xsi:type="dcterms:W3CDTF">1997-12-04T19:04:30Z</dcterms:created>
  <dcterms:modified xsi:type="dcterms:W3CDTF">2014-12-05T17:38:04Z</dcterms:modified>
</cp:coreProperties>
</file>