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21045" windowHeight="11310" tabRatio="690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197" i="1" l="1"/>
  <c r="K531" i="1"/>
  <c r="I521" i="1"/>
  <c r="J521" i="1"/>
  <c r="H521" i="1"/>
  <c r="G521" i="1"/>
  <c r="F521" i="1"/>
  <c r="G526" i="1"/>
  <c r="C10" i="12"/>
  <c r="C11" i="12"/>
  <c r="C12" i="12"/>
  <c r="C20" i="12"/>
  <c r="C19" i="12"/>
  <c r="C37" i="12"/>
  <c r="C21" i="12"/>
  <c r="G205" i="1"/>
  <c r="G203" i="1"/>
  <c r="H207" i="1" l="1"/>
  <c r="F110" i="1" l="1"/>
  <c r="F29" i="1"/>
  <c r="F9" i="1"/>
  <c r="F367" i="1" l="1"/>
  <c r="F368" i="1"/>
  <c r="I358" i="1"/>
  <c r="B20" i="12" l="1"/>
  <c r="B37" i="12"/>
  <c r="B21" i="12"/>
  <c r="B19" i="12"/>
  <c r="B11" i="12"/>
  <c r="B12" i="12"/>
  <c r="B10" i="12"/>
  <c r="H604" i="1"/>
  <c r="I277" i="1"/>
  <c r="J207" i="1"/>
  <c r="H255" i="1"/>
  <c r="H396" i="1"/>
  <c r="H397" i="1"/>
  <c r="J96" i="1"/>
  <c r="H159" i="1"/>
  <c r="H155" i="1"/>
  <c r="H154" i="1"/>
  <c r="I207" i="1"/>
  <c r="I203" i="1"/>
  <c r="H208" i="1"/>
  <c r="H204" i="1"/>
  <c r="H203" i="1"/>
  <c r="F203" i="1"/>
  <c r="F526" i="1"/>
  <c r="F202" i="1"/>
  <c r="F531" i="1"/>
  <c r="F20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5" i="2" s="1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138" i="2"/>
  <c r="H33" i="13"/>
  <c r="L211" i="1" l="1"/>
  <c r="F660" i="1" s="1"/>
  <c r="I661" i="1"/>
  <c r="E33" i="13"/>
  <c r="D35" i="13" s="1"/>
  <c r="C13" i="10"/>
  <c r="C11" i="10"/>
  <c r="C16" i="13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F664" i="1" l="1"/>
  <c r="I660" i="1"/>
  <c r="L257" i="1"/>
  <c r="L271" i="1" s="1"/>
  <c r="G632" i="1" s="1"/>
  <c r="J632" i="1" s="1"/>
  <c r="G672" i="1"/>
  <c r="C5" i="10" s="1"/>
  <c r="C28" i="10"/>
  <c r="D24" i="10" s="1"/>
  <c r="G104" i="2"/>
  <c r="C104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2" i="10"/>
  <c r="D16" i="10"/>
  <c r="D21" i="10"/>
  <c r="C30" i="10"/>
  <c r="D11" i="10"/>
  <c r="D26" i="10"/>
  <c r="D13" i="10"/>
  <c r="D10" i="10"/>
  <c r="F672" i="1" l="1"/>
  <c r="C4" i="10" s="1"/>
  <c r="F667" i="1"/>
  <c r="D27" i="10"/>
  <c r="D20" i="10"/>
  <c r="D18" i="10"/>
  <c r="D15" i="10"/>
  <c r="D17" i="10"/>
  <c r="D25" i="10"/>
  <c r="D12" i="10"/>
  <c r="D19" i="10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<sst xmlns="http://schemas.openxmlformats.org/spreadsheetml/2006/main" count="3958" uniqueCount="916">
  <si>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</si>
  <si>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</si>
  <si>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</si>
  <si>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</si>
  <si>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</si>
  <si>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</si>
  <si>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</si>
  <si>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</si>
  <si>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</si>
  <si>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</si>
  <si>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</si>
  <si>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</si>
  <si>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</si>
  <si>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</si>
  <si>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</si>
  <si>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</si>
  <si>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</si>
  <si>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</si>
  <si>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</si>
  <si>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</si>
  <si>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</si>
  <si>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</si>
  <si>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</si>
  <si>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</si>
  <si>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</si>
  <si>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</si>
  <si>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</si>
  <si>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</si>
  <si>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</si>
  <si>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</si>
  <si>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</si>
  <si>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</si>
  <si>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</si>
  <si>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</si>
  <si>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</si>
  <si>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</si>
  <si>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</si>
  <si>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</si>
  <si>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</si>
  <si>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</si>
  <si>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</si>
  <si>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</si>
  <si>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</si>
  <si>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</si>
  <si>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</si>
  <si>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</si>
  <si>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</si>
  <si>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</si>
  <si>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</si>
  <si>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</si>
  <si>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</si>
  <si>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</si>
  <si>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</si>
  <si>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</si>
  <si>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</si>
  <si>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</si>
  <si>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</si>
  <si>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</si>
  <si>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</si>
  <si>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</si>
  <si>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</si>
  <si>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</si>
  <si>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</si>
  <si>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</si>
  <si>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</si>
  <si>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</si>
  <si>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</si>
  <si>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</si>
  <si>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</si>
  <si>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</si>
  <si>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</si>
  <si>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</si>
  <si>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</si>
  <si>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</si>
  <si>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</si>
  <si>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</si>
  <si>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</si>
  <si>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</si>
  <si>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</si>
  <si>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</si>
  <si>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</si>
  <si>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</si>
  <si>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</si>
  <si>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</si>
  <si>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</si>
  <si>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</si>
  <si>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</si>
  <si>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</si>
  <si>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</si>
  <si>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</si>
  <si>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</si>
  <si>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</si>
  <si>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</si>
  <si>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</si>
  <si>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</si>
  <si>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</si>
  <si>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</si>
  <si>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</si>
  <si>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</si>
  <si>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</si>
  <si>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</si>
  <si>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</si>
  <si>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</si>
  <si>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</si>
  <si>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</si>
  <si>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</si>
  <si>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</si>
  <si>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</si>
  <si>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</si>
  <si>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</si>
  <si>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</si>
  <si>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</si>
  <si>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</si>
  <si>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</si>
  <si>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</si>
  <si>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</si>
  <si>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</si>
  <si>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</si>
  <si>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</si>
  <si>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</si>
  <si>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</si>
  <si>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</si>
  <si>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</si>
  <si>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</si>
  <si>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</si>
  <si>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</si>
  <si>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</si>
  <si>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</si>
  <si>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</si>
  <si>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</si>
  <si>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</si>
  <si>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</si>
  <si>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</si>
  <si>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</si>
  <si>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</si>
  <si>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</si>
  <si>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</si>
  <si>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</si>
  <si>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</si>
  <si>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</si>
  <si>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</si>
  <si>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</si>
  <si>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</si>
  <si>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</si>
  <si>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</si>
  <si>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</si>
  <si>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</si>
  <si>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</si>
  <si>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</si>
  <si>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</si>
  <si>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</si>
  <si>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</si>
  <si>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</si>
  <si>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</si>
  <si>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</si>
  <si>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</si>
  <si>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</si>
  <si>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</si>
  <si>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</si>
  <si>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</si>
  <si>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</si>
  <si>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</si>
  <si>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</si>
  <si>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</si>
  <si>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</si>
  <si>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</si>
  <si>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</si>
  <si>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</si>
  <si>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</si>
  <si>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</si>
  <si>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</si>
  <si>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</si>
  <si>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</si>
  <si>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</si>
  <si>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</si>
  <si>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</si>
  <si>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</si>
  <si>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</si>
  <si>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</si>
  <si>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</si>
  <si>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</si>
  <si>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</si>
  <si>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</si>
  <si>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</si>
  <si>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</si>
  <si>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</si>
  <si>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</si>
  <si>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</si>
  <si>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</si>
  <si>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</si>
  <si>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</si>
  <si>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</si>
  <si>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</si>
  <si>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</si>
  <si>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</si>
  <si>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</si>
  <si>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</si>
  <si>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</si>
  <si>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</si>
  <si>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</si>
  <si>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</si>
  <si>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</si>
  <si>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</si>
  <si>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</si>
  <si>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</si>
  <si>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</si>
  <si>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</si>
  <si>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</si>
  <si>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</si>
  <si>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</si>
  <si>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</si>
  <si>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</si>
  <si>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</si>
  <si>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</si>
  <si>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</si>
  <si>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</si>
  <si>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</si>
  <si>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</si>
  <si>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</si>
  <si>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</si>
  <si>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</si>
  <si>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</si>
  <si>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</si>
  <si>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</si>
  <si>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</si>
  <si>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</si>
  <si>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</si>
  <si>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</si>
  <si>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</si>
  <si>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</si>
  <si>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</si>
  <si>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</si>
  <si>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</si>
  <si>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</si>
  <si>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</si>
  <si>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</si>
  <si>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</si>
  <si>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</si>
  <si>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</si>
  <si>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</si>
  <si>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</si>
  <si>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</si>
  <si>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</si>
  <si>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</si>
  <si>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</si>
  <si>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</si>
  <si>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</si>
  <si>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</si>
  <si>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</si>
  <si>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</si>
  <si>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</si>
  <si>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</si>
  <si>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</si>
  <si>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</si>
  <si>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</si>
  <si>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</si>
  <si>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</si>
  <si>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</si>
  <si>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</si>
  <si>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</si>
  <si>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</si>
  <si>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</si>
  <si>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</si>
  <si>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</si>
  <si>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</si>
  <si>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</si>
  <si>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</si>
  <si>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</si>
  <si>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</si>
  <si>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</si>
  <si>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</si>
  <si>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</si>
  <si>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</si>
  <si>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</si>
  <si>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</si>
  <si>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</si>
  <si>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</si>
  <si>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</si>
  <si>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</si>
  <si>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</si>
  <si>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</si>
  <si>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</si>
  <si>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</si>
  <si>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</si>
  <si>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</si>
  <si>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</si>
  <si>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</si>
  <si>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</si>
  <si>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</si>
  <si>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</si>
  <si>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</si>
  <si>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</si>
  <si>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</si>
  <si>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</si>
  <si>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</si>
  <si>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</si>
  <si>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</si>
  <si>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</si>
  <si>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</si>
  <si>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</si>
  <si>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</si>
  <si>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</si>
  <si>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</si>
  <si>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</si>
  <si>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</si>
  <si>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</si>
  <si>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</si>
  <si>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</si>
  <si>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</si>
  <si>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</si>
  <si>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</si>
  <si>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</si>
  <si>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</si>
  <si>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</si>
  <si>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</si>
  <si>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</si>
  <si>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</si>
  <si>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</si>
  <si>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</si>
  <si>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</si>
  <si>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</si>
  <si>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</si>
  <si>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</si>
  <si>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</si>
  <si>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</si>
  <si>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</si>
  <si>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</si>
  <si>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</si>
  <si>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</si>
  <si>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</si>
  <si>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</si>
  <si>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</si>
  <si>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</si>
  <si>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</si>
  <si>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</si>
  <si>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</si>
  <si>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</si>
  <si>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</si>
  <si>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</si>
  <si>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</si>
  <si>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</si>
  <si>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</si>
  <si>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</si>
  <si>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</si>
  <si>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</si>
  <si>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</si>
  <si>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</si>
  <si>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</si>
  <si>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</si>
  <si>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</si>
  <si>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</si>
  <si>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</si>
  <si>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</si>
  <si>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</si>
  <si>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</si>
  <si>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</si>
  <si>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</si>
  <si>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</si>
  <si>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</si>
  <si>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</si>
  <si>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</si>
  <si>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</si>
  <si>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</si>
  <si>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</si>
  <si>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</si>
  <si>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</si>
  <si>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</si>
  <si>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</si>
  <si>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</si>
  <si>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</si>
  <si>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</si>
  <si>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</si>
  <si>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</si>
  <si>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</si>
  <si>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</si>
  <si>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</si>
  <si>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</si>
  <si>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</si>
  <si>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</si>
  <si>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</si>
  <si>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</si>
  <si>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</si>
  <si>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</si>
  <si>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</si>
  <si>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</si>
  <si>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</si>
  <si>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</si>
  <si>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</si>
  <si>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</si>
  <si>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</si>
  <si>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</si>
  <si>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</si>
  <si>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</si>
  <si>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</si>
  <si>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</si>
  <si>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</si>
  <si>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</si>
  <si>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</si>
  <si>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</si>
  <si>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</si>
  <si>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</si>
  <si>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</si>
  <si>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</si>
  <si>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</si>
  <si>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</si>
  <si>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</si>
  <si>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</si>
  <si>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</si>
  <si>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</si>
  <si>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</si>
  <si>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</si>
  <si>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</si>
  <si>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</si>
  <si>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</si>
  <si>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</si>
  <si>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</si>
  <si>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</si>
  <si>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</si>
  <si>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</si>
  <si>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</si>
  <si>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</si>
  <si>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</si>
  <si>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</si>
  <si>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</si>
  <si>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</si>
  <si>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</si>
  <si>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</si>
  <si>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</si>
  <si>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</si>
  <si>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</si>
  <si>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</si>
  <si>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</si>
  <si>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</si>
  <si>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</si>
  <si>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</si>
  <si>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</si>
  <si>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</si>
  <si>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</si>
  <si>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</si>
  <si>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</si>
  <si>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</si>
  <si>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</si>
  <si>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</si>
  <si>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</si>
  <si>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</si>
  <si>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</si>
  <si>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</si>
  <si>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</si>
  <si>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</si>
  <si>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</si>
  <si>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</si>
  <si>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</si>
  <si>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</si>
  <si>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</si>
  <si>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</si>
  <si>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</si>
  <si>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</si>
  <si>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</si>
  <si>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</si>
  <si>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</si>
  <si>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</si>
  <si>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</si>
  <si>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</si>
  <si>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</si>
  <si>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</si>
  <si>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</si>
  <si>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</si>
  <si>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</si>
  <si>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</si>
  <si>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</si>
  <si>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</si>
  <si>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</si>
  <si>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</si>
  <si>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</si>
  <si>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</si>
  <si>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</si>
  <si>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</si>
  <si>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</si>
  <si>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</si>
  <si>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</si>
  <si>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</si>
  <si>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</si>
  <si>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</si>
  <si>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</si>
  <si>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</si>
  <si>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</si>
  <si>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</si>
  <si>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</si>
  <si>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</si>
  <si>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</si>
  <si>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</si>
  <si>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</si>
  <si>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</si>
  <si>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</si>
  <si>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</si>
  <si>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</si>
  <si>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</si>
  <si>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</si>
  <si>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</si>
  <si>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</si>
  <si>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</si>
  <si>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</si>
  <si>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</si>
  <si>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</si>
  <si>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</si>
  <si>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</si>
  <si>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</si>
  <si>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</si>
  <si>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</si>
  <si>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</si>
  <si>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</si>
  <si>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</si>
  <si>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</si>
  <si>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</si>
  <si>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</si>
  <si>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</si>
  <si>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</si>
  <si>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</si>
  <si>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</si>
  <si>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</si>
  <si>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</si>
  <si>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</si>
  <si>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</si>
  <si>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</si>
  <si>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</si>
  <si>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</si>
  <si>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</si>
  <si>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</si>
  <si>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</si>
  <si>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</si>
  <si>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</si>
  <si>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</si>
  <si>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</si>
  <si>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</si>
  <si>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</si>
  <si>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</si>
  <si>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</si>
  <si>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</si>
  <si>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</si>
  <si>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</si>
  <si>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</si>
  <si>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</si>
  <si>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</si>
  <si>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</si>
  <si>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</si>
  <si>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</si>
  <si>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</si>
  <si>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</si>
  <si>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</si>
  <si>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</si>
  <si>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</si>
  <si>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</si>
  <si>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</si>
  <si>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</si>
  <si>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</si>
  <si>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</si>
  <si>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</si>
  <si>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</si>
  <si>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</si>
  <si>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</si>
  <si>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</si>
  <si>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</si>
  <si>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</si>
  <si>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</si>
  <si>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</si>
  <si>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</si>
  <si>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</si>
  <si>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</si>
  <si>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</si>
  <si>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</si>
  <si>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</si>
  <si>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</si>
  <si>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</si>
  <si>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</si>
  <si>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</si>
  <si>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</si>
  <si>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</si>
  <si>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</si>
  <si>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</si>
  <si>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</si>
  <si>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</si>
  <si>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</si>
  <si>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</si>
  <si>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</si>
  <si>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</si>
  <si>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</si>
  <si>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</si>
  <si>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</si>
  <si>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</si>
  <si>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</si>
  <si>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</si>
  <si>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</si>
  <si>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</si>
  <si>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</si>
  <si>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</si>
  <si>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</si>
  <si>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</si>
  <si>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</si>
  <si>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</si>
  <si>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</si>
  <si>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</si>
  <si>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</si>
  <si>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</si>
  <si>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</si>
  <si>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</si>
  <si>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</si>
  <si>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</si>
  <si>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</si>
  <si>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</si>
  <si>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</si>
  <si>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</si>
  <si>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</si>
  <si>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</si>
  <si>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</si>
  <si>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</si>
  <si>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</si>
  <si>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</si>
  <si>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</si>
  <si>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</si>
  <si>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</si>
  <si>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</si>
  <si>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</si>
  <si>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</si>
  <si>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</si>
  <si>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</si>
  <si>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</si>
  <si>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</si>
  <si>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</si>
  <si>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</si>
  <si>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</si>
  <si>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</si>
  <si>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</si>
  <si>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</si>
  <si>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</si>
  <si>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</si>
  <si>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</si>
  <si>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</si>
  <si>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</si>
  <si>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</si>
  <si>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</si>
  <si>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</si>
  <si>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</si>
  <si>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</si>
  <si>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</si>
  <si>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</si>
  <si>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</si>
  <si>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</si>
  <si>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</si>
  <si>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</si>
  <si>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</si>
  <si>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</si>
  <si>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</si>
  <si>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</si>
  <si>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</si>
  <si>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</si>
  <si>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</si>
  <si>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</si>
  <si>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</si>
  <si>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</si>
  <si>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</si>
  <si>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</si>
  <si>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</si>
  <si>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</si>
  <si>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</si>
  <si>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</si>
  <si>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</si>
  <si>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</si>
  <si>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</si>
  <si>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</si>
  <si>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</si>
  <si>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</si>
  <si>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</si>
  <si>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</si>
  <si>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</si>
  <si>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</si>
  <si>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</si>
  <si>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</si>
  <si>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</si>
  <si>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</si>
  <si>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</si>
  <si>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</si>
  <si>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</si>
  <si>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</si>
  <si>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</si>
  <si>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</si>
  <si>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</si>
  <si>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</si>
  <si>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</si>
  <si>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</si>
  <si>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</si>
  <si>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</si>
  <si>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</si>
  <si>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</si>
  <si>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</si>
  <si>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</si>
  <si>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</si>
  <si>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</si>
  <si>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</si>
  <si>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</si>
  <si>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</si>
  <si>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</si>
  <si>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</si>
  <si>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</si>
  <si>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</si>
  <si>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</si>
  <si>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</si>
  <si>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</si>
  <si>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</si>
  <si>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</si>
  <si>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</si>
  <si>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</si>
  <si>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</si>
  <si>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</si>
  <si>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</si>
  <si>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</si>
  <si>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</si>
  <si>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</si>
  <si>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</si>
  <si>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</si>
  <si>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</si>
  <si>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</si>
  <si>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</si>
  <si>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</si>
  <si>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</si>
  <si>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</si>
  <si>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</si>
  <si>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</si>
  <si>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</si>
  <si>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</si>
  <si>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</si>
  <si>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</si>
  <si>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</si>
  <si>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</si>
  <si>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</si>
  <si>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</si>
  <si>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</si>
  <si>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</si>
  <si>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</si>
  <si>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</si>
  <si>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</si>
  <si>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</si>
  <si>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</si>
  <si>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</si>
  <si>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</si>
  <si>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</si>
  <si>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</si>
  <si>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</si>
  <si>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</si>
  <si>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</si>
  <si>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</si>
  <si>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</si>
  <si>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</si>
  <si>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</si>
  <si>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</si>
  <si>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</si>
  <si>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</si>
  <si>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</si>
  <si>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</si>
  <si>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</si>
  <si>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</si>
  <si>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</si>
  <si>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</si>
  <si>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</si>
  <si>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</si>
  <si>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</si>
  <si>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</si>
  <si>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</si>
  <si>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</si>
  <si>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</si>
  <si>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</si>
  <si>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</si>
  <si>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</si>
  <si>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</si>
  <si>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</si>
  <si>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</si>
  <si>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</si>
  <si>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</si>
  <si>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</si>
  <si>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</si>
  <si>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</si>
  <si>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</si>
  <si>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</si>
  <si>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</si>
  <si>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</si>
  <si>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</si>
  <si>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</si>
  <si>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</si>
  <si>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</si>
  <si>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</si>
  <si>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</si>
  <si>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</si>
  <si>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</si>
  <si>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</si>
  <si>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</si>
  <si>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</si>
  <si>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</si>
  <si>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</si>
  <si>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</si>
  <si>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</si>
  <si>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</si>
  <si>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</si>
  <si>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</si>
  <si>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</si>
  <si>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</si>
  <si>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</si>
  <si>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</si>
  <si>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</si>
  <si>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</si>
  <si>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</si>
  <si>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</si>
  <si>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</si>
  <si>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</si>
  <si>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</si>
  <si>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</si>
  <si>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</si>
  <si>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</si>
  <si>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</si>
  <si>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</si>
  <si>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</si>
  <si>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</si>
  <si>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</si>
  <si>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</si>
  <si>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</si>
  <si>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</si>
  <si>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</si>
  <si>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</si>
  <si>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</si>
  <si>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</si>
  <si>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</si>
  <si>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</si>
  <si>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</si>
  <si>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</si>
  <si>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</si>
  <si>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</si>
  <si>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</si>
  <si>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</si>
  <si>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</si>
  <si>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</si>
  <si>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</si>
  <si>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</si>
  <si>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</si>
  <si>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</si>
  <si>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</si>
  <si>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</si>
  <si>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</si>
  <si>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</si>
  <si>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</si>
  <si>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</si>
  <si>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</si>
  <si>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</si>
  <si>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</si>
  <si>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</si>
  <si>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</si>
  <si>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</si>
  <si>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</si>
  <si>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</si>
  <si>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</si>
  <si>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</si>
  <si>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</si>
  <si>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</si>
  <si>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</si>
  <si>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</si>
  <si>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</si>
  <si>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</si>
  <si>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</si>
  <si>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</si>
  <si>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</si>
  <si>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</si>
  <si>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</si>
  <si>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</si>
  <si>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</si>
  <si>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</si>
  <si>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</si>
  <si>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</si>
  <si>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</si>
  <si>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</si>
  <si>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</si>
  <si>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</si>
  <si>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</si>
  <si>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</si>
  <si>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</si>
  <si>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</si>
  <si>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</si>
  <si>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</si>
  <si>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</si>
  <si>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</si>
  <si>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</si>
  <si>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</si>
  <si>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</si>
  <si>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</si>
  <si>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</si>
  <si>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</si>
  <si>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</si>
  <si>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</si>
  <si>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</si>
  <si>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</si>
  <si>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</si>
  <si>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</si>
  <si>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</si>
  <si>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</si>
  <si>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</si>
  <si>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</si>
  <si>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</si>
  <si>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</si>
  <si>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</si>
  <si>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</si>
  <si>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</si>
  <si>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</si>
  <si>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</si>
  <si>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</si>
  <si>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</si>
  <si>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SEABROK</t>
  </si>
  <si>
    <t>4/10</t>
  </si>
  <si>
    <t>7/24</t>
  </si>
  <si>
    <t>LGC Refund - 129,801,70</t>
  </si>
  <si>
    <t>Primex Work Comp Refund 8,635.20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</si>
</sst>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485</v>
      </c>
      <c r="C2" s="21">
        <v>485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595412.46+454.31</f>
        <v>595866.77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185612.02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56401.36</v>
      </c>
      <c r="G12" s="18">
        <v>-10331.73</v>
      </c>
      <c r="H12" s="18">
        <v>46069.63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5399.78</v>
      </c>
      <c r="G13" s="18">
        <v>12514.94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5001.0600000000004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3542.75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662668.97000000009</v>
      </c>
      <c r="G19" s="41">
        <f>SUM(G9:G18)</f>
        <v>5725.9600000000009</v>
      </c>
      <c r="H19" s="41">
        <f>SUM(H9:H18)</f>
        <v>46069.63</v>
      </c>
      <c r="I19" s="41">
        <f>SUM(I9:I18)</f>
        <v>0</v>
      </c>
      <c r="J19" s="41">
        <f>SUM(J9:J18)</f>
        <v>185612.02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46069.63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121709.8</v>
      </c>
      <c r="G24" s="18">
        <v>140.52000000000001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4156.4799999999996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317.99+36196.64+5178.89+276.4</f>
        <v>41969.919999999998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37606.839999999997</v>
      </c>
      <c r="G30" s="18">
        <v>1995.13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205443.04</v>
      </c>
      <c r="G32" s="41">
        <f>SUM(G22:G31)</f>
        <v>2135.65</v>
      </c>
      <c r="H32" s="41">
        <f>SUM(H22:H31)</f>
        <v>46069.63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3542.75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103631.7</v>
      </c>
      <c r="G48" s="18">
        <v>47.56</v>
      </c>
      <c r="H48" s="18"/>
      <c r="I48" s="18"/>
      <c r="J48" s="13">
        <f>SUM(I459)</f>
        <v>185612.02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98659.39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209934.84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457225.93000000005</v>
      </c>
      <c r="G51" s="41">
        <f>SUM(G35:G50)</f>
        <v>3590.31</v>
      </c>
      <c r="H51" s="41">
        <f>SUM(H35:H50)</f>
        <v>0</v>
      </c>
      <c r="I51" s="41">
        <f>SUM(I35:I50)</f>
        <v>0</v>
      </c>
      <c r="J51" s="41">
        <f>SUM(J35:J50)</f>
        <v>185612.02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662668.97000000009</v>
      </c>
      <c r="G52" s="41">
        <f>G51+G32</f>
        <v>5725.96</v>
      </c>
      <c r="H52" s="41">
        <f>H51+H32</f>
        <v>46069.63</v>
      </c>
      <c r="I52" s="41">
        <f>I51+I32</f>
        <v>0</v>
      </c>
      <c r="J52" s="41">
        <f>J51+J32</f>
        <v>185612.02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8617389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8617389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14527.6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14527.6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1132.6500000000001</v>
      </c>
      <c r="G96" s="18"/>
      <c r="H96" s="18"/>
      <c r="I96" s="18"/>
      <c r="J96" s="18">
        <f>2379.03+1256.93</f>
        <v>3635.96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80427.44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15000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24630.21+129801.7+44.19</f>
        <v>154476.1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170608.75</v>
      </c>
      <c r="G111" s="41">
        <f>SUM(G96:G110)</f>
        <v>80427.44</v>
      </c>
      <c r="H111" s="41">
        <f>SUM(H96:H110)</f>
        <v>0</v>
      </c>
      <c r="I111" s="41">
        <f>SUM(I96:I110)</f>
        <v>0</v>
      </c>
      <c r="J111" s="41">
        <f>SUM(J96:J110)</f>
        <v>3635.96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8802525.3499999996</v>
      </c>
      <c r="G112" s="41">
        <f>G60+G111</f>
        <v>80427.44</v>
      </c>
      <c r="H112" s="41">
        <f>H60+H79+H94+H111</f>
        <v>0</v>
      </c>
      <c r="I112" s="41">
        <f>I60+I111</f>
        <v>0</v>
      </c>
      <c r="J112" s="41">
        <f>J60+J111</f>
        <v>3635.96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845050.99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2102249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2947299.99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32000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61802.53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4623.68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93802.53</v>
      </c>
      <c r="G136" s="41">
        <f>SUM(G123:G135)</f>
        <v>4623.68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3041102.52</v>
      </c>
      <c r="G140" s="41">
        <f>G121+SUM(G136:G137)</f>
        <v>4623.68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38053.24+295810.25</f>
        <v>333863.49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1626.33+1073.89+13708.77</f>
        <v>16408.990000000002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172730.64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60.81+150236.43+102.9</f>
        <v>150400.13999999998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89675.37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29633.89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89675.37</v>
      </c>
      <c r="G162" s="41">
        <f>SUM(G150:G161)</f>
        <v>202364.53000000003</v>
      </c>
      <c r="H162" s="41">
        <f>SUM(H150:H161)</f>
        <v>500672.62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>
        <v>15797.27</v>
      </c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89675.37</v>
      </c>
      <c r="G169" s="41">
        <f>G147+G162+SUM(G163:G168)</f>
        <v>218161.80000000002</v>
      </c>
      <c r="H169" s="41">
        <f>H147+H162+SUM(H163:H168)</f>
        <v>500672.62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9200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9200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20790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20790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20790</v>
      </c>
      <c r="G192" s="41">
        <f>G183+SUM(G188:G191)</f>
        <v>9200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11954093.239999998</v>
      </c>
      <c r="G193" s="47">
        <f>G112+G140+G169+G192</f>
        <v>312412.92000000004</v>
      </c>
      <c r="H193" s="47">
        <f>H112+H140+H169+H192</f>
        <v>500672.62</v>
      </c>
      <c r="I193" s="47">
        <f>I112+I140+I169+I192</f>
        <v>0</v>
      </c>
      <c r="J193" s="47">
        <f>J112+J140+J192</f>
        <v>48635.96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3709912.52</v>
      </c>
      <c r="G197" s="18">
        <v>1435510.59</v>
      </c>
      <c r="H197" s="18">
        <v>34228.339999999997</v>
      </c>
      <c r="I197" s="18">
        <f>121481.78+469.87+39.38</f>
        <v>121991.03</v>
      </c>
      <c r="J197" s="18">
        <v>14125.36</v>
      </c>
      <c r="K197" s="18"/>
      <c r="L197" s="19">
        <f>SUM(F197:K197)</f>
        <v>5315767.8400000008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1277212.69</v>
      </c>
      <c r="G198" s="18">
        <v>418660.42</v>
      </c>
      <c r="H198" s="18">
        <v>387244.5</v>
      </c>
      <c r="I198" s="18">
        <v>5198.58</v>
      </c>
      <c r="J198" s="18">
        <v>2517.08</v>
      </c>
      <c r="K198" s="18">
        <v>909</v>
      </c>
      <c r="L198" s="19">
        <f>SUM(F198:K198)</f>
        <v>2091742.27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34437+19352.48</f>
        <v>53789.479999999996</v>
      </c>
      <c r="G200" s="18">
        <v>4356.95</v>
      </c>
      <c r="H200" s="18">
        <v>5485</v>
      </c>
      <c r="I200" s="18">
        <v>4393.5600000000004</v>
      </c>
      <c r="J200" s="18">
        <v>1243</v>
      </c>
      <c r="K200" s="18">
        <v>9035</v>
      </c>
      <c r="L200" s="19">
        <f>SUM(F200:K200)</f>
        <v>78302.989999999991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137561.06+125087.84+136763.24</f>
        <v>399412.14</v>
      </c>
      <c r="G202" s="18">
        <v>155440.45000000001</v>
      </c>
      <c r="H202" s="18">
        <v>300</v>
      </c>
      <c r="I202" s="18">
        <v>1683.57</v>
      </c>
      <c r="J202" s="18"/>
      <c r="K202" s="18"/>
      <c r="L202" s="19">
        <f t="shared" ref="L202:L208" si="0">SUM(F202:K202)</f>
        <v>556836.16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129323.1+112635.11</f>
        <v>241958.21000000002</v>
      </c>
      <c r="G203" s="18">
        <f>43766+78443.95</f>
        <v>122209.95</v>
      </c>
      <c r="H203" s="18">
        <f>31725.49+3594.83+51500</f>
        <v>86820.32</v>
      </c>
      <c r="I203" s="18">
        <f>739.75+21434.86+41395.15</f>
        <v>63569.760000000002</v>
      </c>
      <c r="J203" s="18">
        <v>64430.11</v>
      </c>
      <c r="K203" s="18"/>
      <c r="L203" s="19">
        <f t="shared" si="0"/>
        <v>578988.35000000009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27308.5</v>
      </c>
      <c r="G204" s="18">
        <v>2211.9899999999998</v>
      </c>
      <c r="H204" s="18">
        <f>18113.82+351429</f>
        <v>369542.82</v>
      </c>
      <c r="I204" s="18"/>
      <c r="J204" s="18"/>
      <c r="K204" s="18">
        <v>4960.04</v>
      </c>
      <c r="L204" s="19">
        <f t="shared" si="0"/>
        <v>404023.35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417056.83</v>
      </c>
      <c r="G205" s="18">
        <f>7999.76+209172.66</f>
        <v>217172.42</v>
      </c>
      <c r="H205" s="18">
        <v>25578.62</v>
      </c>
      <c r="I205" s="18">
        <v>3990.43</v>
      </c>
      <c r="J205" s="18"/>
      <c r="K205" s="18">
        <v>2346.9899999999998</v>
      </c>
      <c r="L205" s="19">
        <f t="shared" si="0"/>
        <v>666145.29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406292.67</v>
      </c>
      <c r="G207" s="18">
        <v>171931.47</v>
      </c>
      <c r="H207" s="18">
        <f>155254.45+40100+1957.75+20790</f>
        <v>218102.2</v>
      </c>
      <c r="I207" s="18">
        <f>234460.64+8686.17</f>
        <v>243146.81000000003</v>
      </c>
      <c r="J207" s="18">
        <f>30540.28+5881.1+13732.57</f>
        <v>50153.95</v>
      </c>
      <c r="K207" s="18">
        <v>1178.1199999999999</v>
      </c>
      <c r="L207" s="19">
        <f t="shared" si="0"/>
        <v>1090805.2200000002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506912.54+145074.99+18058.44+9679.57+29512.94</f>
        <v>709238.47999999986</v>
      </c>
      <c r="I208" s="18"/>
      <c r="J208" s="18"/>
      <c r="K208" s="18"/>
      <c r="L208" s="19">
        <f t="shared" si="0"/>
        <v>709238.47999999986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>
        <v>884</v>
      </c>
      <c r="L209" s="19">
        <f>SUM(F209:K209)</f>
        <v>884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6532943.04</v>
      </c>
      <c r="G211" s="41">
        <f t="shared" si="1"/>
        <v>2527494.2400000002</v>
      </c>
      <c r="H211" s="41">
        <f t="shared" si="1"/>
        <v>1836540.2799999998</v>
      </c>
      <c r="I211" s="41">
        <f t="shared" si="1"/>
        <v>443973.74000000005</v>
      </c>
      <c r="J211" s="41">
        <f t="shared" si="1"/>
        <v>132469.5</v>
      </c>
      <c r="K211" s="41">
        <f t="shared" si="1"/>
        <v>19313.149999999998</v>
      </c>
      <c r="L211" s="41">
        <f t="shared" si="1"/>
        <v>11492733.950000001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32975.86</v>
      </c>
      <c r="G250" s="18"/>
      <c r="H250" s="18"/>
      <c r="I250" s="18"/>
      <c r="J250" s="18"/>
      <c r="K250" s="18"/>
      <c r="L250" s="19">
        <f t="shared" ref="L250:L255" si="6">SUM(F250:K250)</f>
        <v>32975.86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1300+44998.08</f>
        <v>46298.080000000002</v>
      </c>
      <c r="I255" s="18"/>
      <c r="J255" s="18">
        <v>7337.65</v>
      </c>
      <c r="K255" s="18"/>
      <c r="L255" s="19">
        <f t="shared" si="6"/>
        <v>53635.73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32975.86</v>
      </c>
      <c r="G256" s="41">
        <f t="shared" si="7"/>
        <v>0</v>
      </c>
      <c r="H256" s="41">
        <f t="shared" si="7"/>
        <v>46298.080000000002</v>
      </c>
      <c r="I256" s="41">
        <f t="shared" si="7"/>
        <v>0</v>
      </c>
      <c r="J256" s="41">
        <f t="shared" si="7"/>
        <v>7337.65</v>
      </c>
      <c r="K256" s="41">
        <f t="shared" si="7"/>
        <v>0</v>
      </c>
      <c r="L256" s="41">
        <f>SUM(F256:K256)</f>
        <v>86611.59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6565918.9000000004</v>
      </c>
      <c r="G257" s="41">
        <f t="shared" si="8"/>
        <v>2527494.2400000002</v>
      </c>
      <c r="H257" s="41">
        <f t="shared" si="8"/>
        <v>1882838.3599999999</v>
      </c>
      <c r="I257" s="41">
        <f t="shared" si="8"/>
        <v>443973.74000000005</v>
      </c>
      <c r="J257" s="41">
        <f t="shared" si="8"/>
        <v>139807.15</v>
      </c>
      <c r="K257" s="41">
        <f t="shared" si="8"/>
        <v>19313.149999999998</v>
      </c>
      <c r="L257" s="41">
        <f t="shared" si="8"/>
        <v>11579345.540000001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105000</v>
      </c>
      <c r="L260" s="19">
        <f>SUM(F260:K260)</f>
        <v>105000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24799.56</v>
      </c>
      <c r="L261" s="19">
        <f>SUM(F261:K261)</f>
        <v>24799.56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9200</v>
      </c>
      <c r="L263" s="19">
        <f>SUM(F263:K263)</f>
        <v>9200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183999.56</v>
      </c>
      <c r="L270" s="41">
        <f t="shared" si="9"/>
        <v>183999.56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6565918.9000000004</v>
      </c>
      <c r="G271" s="42">
        <f t="shared" si="11"/>
        <v>2527494.2400000002</v>
      </c>
      <c r="H271" s="42">
        <f t="shared" si="11"/>
        <v>1882838.3599999999</v>
      </c>
      <c r="I271" s="42">
        <f t="shared" si="11"/>
        <v>443973.74000000005</v>
      </c>
      <c r="J271" s="42">
        <f t="shared" si="11"/>
        <v>139807.15</v>
      </c>
      <c r="K271" s="42">
        <f t="shared" si="11"/>
        <v>203312.71</v>
      </c>
      <c r="L271" s="42">
        <f t="shared" si="11"/>
        <v>11763345.100000001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225549.3</v>
      </c>
      <c r="G276" s="18">
        <v>55409.83</v>
      </c>
      <c r="H276" s="18">
        <v>22368.11</v>
      </c>
      <c r="I276" s="18">
        <v>13192.51</v>
      </c>
      <c r="J276" s="18">
        <v>9382.08</v>
      </c>
      <c r="K276" s="18"/>
      <c r="L276" s="19">
        <f>SUM(F276:K276)</f>
        <v>325901.83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106383.21</v>
      </c>
      <c r="G277" s="18">
        <v>37795.160000000003</v>
      </c>
      <c r="H277" s="18">
        <v>1924</v>
      </c>
      <c r="I277" s="18">
        <f>59.45+115.99</f>
        <v>175.44</v>
      </c>
      <c r="J277" s="18">
        <v>957.9</v>
      </c>
      <c r="K277" s="18"/>
      <c r="L277" s="19">
        <f>SUM(F277:K277)</f>
        <v>147235.71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4300</v>
      </c>
      <c r="G279" s="18">
        <v>971.8</v>
      </c>
      <c r="H279" s="18"/>
      <c r="I279" s="18"/>
      <c r="J279" s="18"/>
      <c r="K279" s="18"/>
      <c r="L279" s="19">
        <f>SUM(F279:K279)</f>
        <v>5271.8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13863.28</v>
      </c>
      <c r="L283" s="19">
        <f t="shared" si="12"/>
        <v>13863.28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8400</v>
      </c>
      <c r="I287" s="18"/>
      <c r="J287" s="18"/>
      <c r="K287" s="18"/>
      <c r="L287" s="19">
        <f t="shared" si="12"/>
        <v>8400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336232.51</v>
      </c>
      <c r="G290" s="42">
        <f t="shared" si="13"/>
        <v>94176.790000000008</v>
      </c>
      <c r="H290" s="42">
        <f t="shared" si="13"/>
        <v>32692.11</v>
      </c>
      <c r="I290" s="42">
        <f t="shared" si="13"/>
        <v>13367.95</v>
      </c>
      <c r="J290" s="42">
        <f t="shared" si="13"/>
        <v>10339.98</v>
      </c>
      <c r="K290" s="42">
        <f t="shared" si="13"/>
        <v>13863.28</v>
      </c>
      <c r="L290" s="41">
        <f t="shared" si="13"/>
        <v>500672.62000000005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336232.51</v>
      </c>
      <c r="G338" s="41">
        <f t="shared" si="20"/>
        <v>94176.790000000008</v>
      </c>
      <c r="H338" s="41">
        <f t="shared" si="20"/>
        <v>32692.11</v>
      </c>
      <c r="I338" s="41">
        <f t="shared" si="20"/>
        <v>13367.95</v>
      </c>
      <c r="J338" s="41">
        <f t="shared" si="20"/>
        <v>10339.98</v>
      </c>
      <c r="K338" s="41">
        <f t="shared" si="20"/>
        <v>13863.28</v>
      </c>
      <c r="L338" s="41">
        <f t="shared" si="20"/>
        <v>500672.62000000005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336232.51</v>
      </c>
      <c r="G352" s="41">
        <f>G338</f>
        <v>94176.790000000008</v>
      </c>
      <c r="H352" s="41">
        <f>H338</f>
        <v>32692.11</v>
      </c>
      <c r="I352" s="41">
        <f>I338</f>
        <v>13367.95</v>
      </c>
      <c r="J352" s="41">
        <f>J338</f>
        <v>10339.98</v>
      </c>
      <c r="K352" s="47">
        <f>K338+K351</f>
        <v>13863.28</v>
      </c>
      <c r="L352" s="41">
        <f>L338+L351</f>
        <v>500672.62000000005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168650.09</v>
      </c>
      <c r="G358" s="18">
        <v>661.63</v>
      </c>
      <c r="H358" s="18">
        <v>4317.3599999999997</v>
      </c>
      <c r="I358" s="18">
        <f>143267.34-3542.75</f>
        <v>139724.59</v>
      </c>
      <c r="J358" s="18">
        <v>1298.72</v>
      </c>
      <c r="K358" s="18">
        <v>4170.22</v>
      </c>
      <c r="L358" s="13">
        <f>SUM(F358:K358)</f>
        <v>318822.60999999993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168650.09</v>
      </c>
      <c r="G362" s="47">
        <f t="shared" si="22"/>
        <v>661.63</v>
      </c>
      <c r="H362" s="47">
        <f t="shared" si="22"/>
        <v>4317.3599999999997</v>
      </c>
      <c r="I362" s="47">
        <f t="shared" si="22"/>
        <v>139724.59</v>
      </c>
      <c r="J362" s="47">
        <f t="shared" si="22"/>
        <v>1298.72</v>
      </c>
      <c r="K362" s="47">
        <f t="shared" si="22"/>
        <v>4170.22</v>
      </c>
      <c r="L362" s="47">
        <f t="shared" si="22"/>
        <v>318822.60999999993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98625.7+15797.27+20951.07-3542.75</f>
        <v>131831.29</v>
      </c>
      <c r="G367" s="18"/>
      <c r="H367" s="18"/>
      <c r="I367" s="56">
        <f>SUM(F367:H367)</f>
        <v>131831.29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6587.36+1305.94</f>
        <v>7893.2999999999993</v>
      </c>
      <c r="G368" s="63"/>
      <c r="H368" s="63"/>
      <c r="I368" s="56">
        <f>SUM(F368:H368)</f>
        <v>7893.2999999999993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139724.59</v>
      </c>
      <c r="G369" s="47">
        <f>SUM(G367:G368)</f>
        <v>0</v>
      </c>
      <c r="H369" s="47">
        <f>SUM(H367:H368)</f>
        <v>0</v>
      </c>
      <c r="I369" s="47">
        <f>SUM(I367:I368)</f>
        <v>139724.59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f>841.47+330.58</f>
        <v>1172.05</v>
      </c>
      <c r="I396" s="18"/>
      <c r="J396" s="24" t="s">
        <v>289</v>
      </c>
      <c r="K396" s="24" t="s">
        <v>289</v>
      </c>
      <c r="L396" s="56">
        <f t="shared" si="26"/>
        <v>26172.05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20000</v>
      </c>
      <c r="H397" s="18">
        <f>1537.56+926.35</f>
        <v>2463.91</v>
      </c>
      <c r="I397" s="18"/>
      <c r="J397" s="24" t="s">
        <v>289</v>
      </c>
      <c r="K397" s="24" t="s">
        <v>289</v>
      </c>
      <c r="L397" s="56">
        <f t="shared" si="26"/>
        <v>22463.91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45000</v>
      </c>
      <c r="H401" s="47">
        <f>SUM(H395:H400)</f>
        <v>3635.96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48635.96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3635.96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48635.96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20790</v>
      </c>
      <c r="L422" s="56">
        <f t="shared" si="29"/>
        <v>20790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20790</v>
      </c>
      <c r="L427" s="47">
        <f t="shared" si="30"/>
        <v>20790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20790</v>
      </c>
      <c r="L434" s="47">
        <f t="shared" si="32"/>
        <v>20790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185612.02</v>
      </c>
      <c r="H440" s="18"/>
      <c r="I440" s="56">
        <f t="shared" si="33"/>
        <v>185612.02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185612.02</v>
      </c>
      <c r="H446" s="13">
        <f>SUM(H439:H445)</f>
        <v>0</v>
      </c>
      <c r="I446" s="13">
        <f>SUM(I439:I445)</f>
        <v>185612.02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185612.02</v>
      </c>
      <c r="H459" s="18"/>
      <c r="I459" s="56">
        <f t="shared" si="34"/>
        <v>185612.02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185612.02</v>
      </c>
      <c r="H460" s="83">
        <f>SUM(H454:H459)</f>
        <v>0</v>
      </c>
      <c r="I460" s="83">
        <f>SUM(I454:I459)</f>
        <v>185612.02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185612.02</v>
      </c>
      <c r="H461" s="42">
        <f>H452+H460</f>
        <v>0</v>
      </c>
      <c r="I461" s="42">
        <f>I452+I460</f>
        <v>185612.02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266477.78999999998</v>
      </c>
      <c r="G465" s="18">
        <v>10000</v>
      </c>
      <c r="H465" s="18">
        <v>0</v>
      </c>
      <c r="I465" s="18"/>
      <c r="J465" s="18">
        <v>157766.06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11954093.24</v>
      </c>
      <c r="G468" s="18">
        <v>312412.92</v>
      </c>
      <c r="H468" s="18">
        <v>500672.62</v>
      </c>
      <c r="I468" s="18"/>
      <c r="J468" s="18">
        <v>48635.96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11954093.24</v>
      </c>
      <c r="G470" s="53">
        <f>SUM(G468:G469)</f>
        <v>312412.92</v>
      </c>
      <c r="H470" s="53">
        <f>SUM(H468:H469)</f>
        <v>500672.62</v>
      </c>
      <c r="I470" s="53">
        <f>SUM(I468:I469)</f>
        <v>0</v>
      </c>
      <c r="J470" s="53">
        <f>SUM(J468:J469)</f>
        <v>48635.96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11763345.1</v>
      </c>
      <c r="G472" s="18">
        <v>318822.61</v>
      </c>
      <c r="H472" s="18">
        <v>500672.62</v>
      </c>
      <c r="I472" s="18"/>
      <c r="J472" s="18">
        <v>20790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11763345.1</v>
      </c>
      <c r="G474" s="53">
        <f>SUM(G472:G473)</f>
        <v>318822.61</v>
      </c>
      <c r="H474" s="53">
        <f>SUM(H472:H473)</f>
        <v>500672.62</v>
      </c>
      <c r="I474" s="53">
        <f>SUM(I472:I473)</f>
        <v>0</v>
      </c>
      <c r="J474" s="53">
        <f>SUM(J472:J473)</f>
        <v>20790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457225.9299999997</v>
      </c>
      <c r="G476" s="53">
        <f>(G465+G470)- G474</f>
        <v>3590.3099999999977</v>
      </c>
      <c r="H476" s="53">
        <f>(H465+H470)- H474</f>
        <v>0</v>
      </c>
      <c r="I476" s="53">
        <f>(I465+I470)- I474</f>
        <v>0</v>
      </c>
      <c r="J476" s="53">
        <f>(J465+J470)- J474</f>
        <v>185612.02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1780093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1383093</v>
      </c>
      <c r="G495" s="18"/>
      <c r="H495" s="18"/>
      <c r="I495" s="18"/>
      <c r="J495" s="18"/>
      <c r="K495" s="53">
        <f>SUM(F495:J495)</f>
        <v>1383093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123088.48</v>
      </c>
      <c r="G497" s="18"/>
      <c r="H497" s="18"/>
      <c r="I497" s="18"/>
      <c r="J497" s="18"/>
      <c r="K497" s="53">
        <f t="shared" si="35"/>
        <v>123088.48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1269093</v>
      </c>
      <c r="G498" s="204"/>
      <c r="H498" s="204"/>
      <c r="I498" s="204"/>
      <c r="J498" s="204"/>
      <c r="K498" s="205">
        <f t="shared" si="35"/>
        <v>1269093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100033.13</v>
      </c>
      <c r="G499" s="18"/>
      <c r="H499" s="18"/>
      <c r="I499" s="18"/>
      <c r="J499" s="18"/>
      <c r="K499" s="53">
        <f t="shared" si="35"/>
        <v>100033.13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1369126.13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1369126.13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114000</v>
      </c>
      <c r="G501" s="204"/>
      <c r="H501" s="204"/>
      <c r="I501" s="204"/>
      <c r="J501" s="204"/>
      <c r="K501" s="205">
        <f t="shared" si="35"/>
        <v>114000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16708.78</v>
      </c>
      <c r="G502" s="18"/>
      <c r="H502" s="18"/>
      <c r="I502" s="18"/>
      <c r="J502" s="18"/>
      <c r="K502" s="53">
        <f t="shared" si="35"/>
        <v>16708.78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130708.78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130708.78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535465.19+417945.31+106383.21</f>
        <v>1059793.71</v>
      </c>
      <c r="G521" s="18">
        <f>236432.52+36068.68+37795.16</f>
        <v>310296.36</v>
      </c>
      <c r="H521" s="18">
        <f>386673+1924</f>
        <v>388597</v>
      </c>
      <c r="I521" s="18">
        <f>5198.58+59.45</f>
        <v>5258.03</v>
      </c>
      <c r="J521" s="18">
        <f>2517.08</f>
        <v>2517.08</v>
      </c>
      <c r="K521" s="18"/>
      <c r="L521" s="88">
        <f>SUM(F521:K521)</f>
        <v>1766462.18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1059793.71</v>
      </c>
      <c r="G524" s="108">
        <f t="shared" ref="G524:L524" si="36">SUM(G521:G523)</f>
        <v>310296.36</v>
      </c>
      <c r="H524" s="108">
        <f t="shared" si="36"/>
        <v>388597</v>
      </c>
      <c r="I524" s="108">
        <f t="shared" si="36"/>
        <v>5258.03</v>
      </c>
      <c r="J524" s="108">
        <f t="shared" si="36"/>
        <v>2517.08</v>
      </c>
      <c r="K524" s="108">
        <f t="shared" si="36"/>
        <v>0</v>
      </c>
      <c r="L524" s="89">
        <f t="shared" si="36"/>
        <v>1766462.18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197221.2+136763.24</f>
        <v>333984.44</v>
      </c>
      <c r="G526" s="18">
        <f>86853.71+57416.27</f>
        <v>144269.98000000001</v>
      </c>
      <c r="H526" s="18"/>
      <c r="I526" s="18"/>
      <c r="J526" s="18"/>
      <c r="K526" s="18"/>
      <c r="L526" s="88">
        <f>SUM(F526:K526)</f>
        <v>478254.42000000004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333984.44</v>
      </c>
      <c r="G529" s="89">
        <f t="shared" ref="G529:L529" si="37">SUM(G526:G528)</f>
        <v>144269.98000000001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478254.42000000004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82000.03+44580.96</f>
        <v>126580.98999999999</v>
      </c>
      <c r="G531" s="18">
        <v>59306.51</v>
      </c>
      <c r="H531" s="18"/>
      <c r="I531" s="18"/>
      <c r="J531" s="18"/>
      <c r="K531" s="18">
        <f>909+4238.32</f>
        <v>5147.32</v>
      </c>
      <c r="L531" s="88">
        <f>SUM(F531:K531)</f>
        <v>191034.82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126580.98999999999</v>
      </c>
      <c r="G534" s="89">
        <f t="shared" ref="G534:L534" si="38">SUM(G531:G533)</f>
        <v>59306.51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5147.32</v>
      </c>
      <c r="L534" s="89">
        <f t="shared" si="38"/>
        <v>191034.82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571.5</v>
      </c>
      <c r="I536" s="18"/>
      <c r="J536" s="18"/>
      <c r="K536" s="18"/>
      <c r="L536" s="88">
        <f>SUM(F536:K536)</f>
        <v>571.5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571.5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571.5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145074.99</v>
      </c>
      <c r="I541" s="18"/>
      <c r="J541" s="18"/>
      <c r="K541" s="18"/>
      <c r="L541" s="88">
        <f>SUM(F541:K541)</f>
        <v>145074.99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145074.99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145074.99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1520359.14</v>
      </c>
      <c r="G545" s="89">
        <f t="shared" ref="G545:L545" si="41">G524+G529+G534+G539+G544</f>
        <v>513872.85</v>
      </c>
      <c r="H545" s="89">
        <f t="shared" si="41"/>
        <v>534243.49</v>
      </c>
      <c r="I545" s="89">
        <f t="shared" si="41"/>
        <v>5258.03</v>
      </c>
      <c r="J545" s="89">
        <f t="shared" si="41"/>
        <v>2517.08</v>
      </c>
      <c r="K545" s="89">
        <f t="shared" si="41"/>
        <v>5147.32</v>
      </c>
      <c r="L545" s="89">
        <f t="shared" si="41"/>
        <v>2581397.91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1766462.18</v>
      </c>
      <c r="G549" s="87">
        <f>L526</f>
        <v>478254.42000000004</v>
      </c>
      <c r="H549" s="87">
        <f>L531</f>
        <v>191034.82</v>
      </c>
      <c r="I549" s="87">
        <f>L536</f>
        <v>571.5</v>
      </c>
      <c r="J549" s="87">
        <f>L541</f>
        <v>145074.99</v>
      </c>
      <c r="K549" s="87">
        <f>SUM(F549:J549)</f>
        <v>2581397.91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1766462.18</v>
      </c>
      <c r="G552" s="89">
        <f t="shared" si="42"/>
        <v>478254.42000000004</v>
      </c>
      <c r="H552" s="89">
        <f t="shared" si="42"/>
        <v>191034.82</v>
      </c>
      <c r="I552" s="89">
        <f t="shared" si="42"/>
        <v>571.5</v>
      </c>
      <c r="J552" s="89">
        <f t="shared" si="42"/>
        <v>145074.99</v>
      </c>
      <c r="K552" s="89">
        <f t="shared" si="42"/>
        <v>2581397.91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17269.93</v>
      </c>
      <c r="G579" s="18"/>
      <c r="H579" s="18"/>
      <c r="I579" s="87">
        <f t="shared" si="47"/>
        <v>17269.93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259761.64</v>
      </c>
      <c r="G582" s="18"/>
      <c r="H582" s="18"/>
      <c r="I582" s="87">
        <f t="shared" si="47"/>
        <v>259761.64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506912.54</v>
      </c>
      <c r="I591" s="18"/>
      <c r="J591" s="18"/>
      <c r="K591" s="104">
        <f t="shared" ref="K591:K597" si="48">SUM(H591:J591)</f>
        <v>506912.54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145074.99</v>
      </c>
      <c r="I592" s="18"/>
      <c r="J592" s="18"/>
      <c r="K592" s="104">
        <f t="shared" si="48"/>
        <v>145074.99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18058.439999999999</v>
      </c>
      <c r="I594" s="18"/>
      <c r="J594" s="18"/>
      <c r="K594" s="104">
        <f t="shared" si="48"/>
        <v>18058.439999999999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9679.57</v>
      </c>
      <c r="I595" s="18"/>
      <c r="J595" s="18"/>
      <c r="K595" s="104">
        <f t="shared" si="48"/>
        <v>9679.57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29512.94</v>
      </c>
      <c r="I597" s="18"/>
      <c r="J597" s="18"/>
      <c r="K597" s="104">
        <f t="shared" si="48"/>
        <v>29512.94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709238.47999999986</v>
      </c>
      <c r="I598" s="108">
        <f>SUM(I591:I597)</f>
        <v>0</v>
      </c>
      <c r="J598" s="108">
        <f>SUM(J591:J597)</f>
        <v>0</v>
      </c>
      <c r="K598" s="108">
        <f>SUM(K591:K597)</f>
        <v>709238.47999999986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118736.93+13732.57+10339.98</f>
        <v>142809.48000000001</v>
      </c>
      <c r="I604" s="18"/>
      <c r="J604" s="18"/>
      <c r="K604" s="104">
        <f>SUM(H604:J604)</f>
        <v>142809.48000000001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142809.48000000001</v>
      </c>
      <c r="I605" s="108">
        <f>SUM(I602:I604)</f>
        <v>0</v>
      </c>
      <c r="J605" s="108">
        <f>SUM(J602:J604)</f>
        <v>0</v>
      </c>
      <c r="K605" s="108">
        <f>SUM(K602:K604)</f>
        <v>142809.48000000001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19352.48</v>
      </c>
      <c r="G611" s="18"/>
      <c r="H611" s="18"/>
      <c r="I611" s="18"/>
      <c r="J611" s="18"/>
      <c r="K611" s="18"/>
      <c r="L611" s="88">
        <f>SUM(F611:K611)</f>
        <v>19352.48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19352.48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19352.48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662668.97000000009</v>
      </c>
      <c r="H617" s="109">
        <f>SUM(F52)</f>
        <v>662668.97000000009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5725.9600000000009</v>
      </c>
      <c r="H618" s="109">
        <f>SUM(G52)</f>
        <v>5725.96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46069.63</v>
      </c>
      <c r="H619" s="109">
        <f>SUM(H52)</f>
        <v>46069.63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185612.02</v>
      </c>
      <c r="H621" s="109">
        <f>SUM(J52)</f>
        <v>185612.02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457225.93000000005</v>
      </c>
      <c r="H622" s="109">
        <f>F476</f>
        <v>457225.9299999997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3590.31</v>
      </c>
      <c r="H623" s="109">
        <f>G476</f>
        <v>3590.3099999999977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185612.02</v>
      </c>
      <c r="H626" s="109">
        <f>J476</f>
        <v>185612.02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11954093.239999998</v>
      </c>
      <c r="H627" s="104">
        <f>SUM(F468)</f>
        <v>11954093.24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312412.92000000004</v>
      </c>
      <c r="H628" s="104">
        <f>SUM(G468)</f>
        <v>312412.92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500672.62</v>
      </c>
      <c r="H629" s="104">
        <f>SUM(H468)</f>
        <v>500672.62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48635.96</v>
      </c>
      <c r="H631" s="104">
        <f>SUM(J468)</f>
        <v>48635.96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11763345.100000001</v>
      </c>
      <c r="H632" s="104">
        <f>SUM(F472)</f>
        <v>11763345.1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500672.62000000005</v>
      </c>
      <c r="H633" s="104">
        <f>SUM(H472)</f>
        <v>500672.62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139724.59</v>
      </c>
      <c r="H634" s="104">
        <f>I369</f>
        <v>139724.59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318822.60999999993</v>
      </c>
      <c r="H635" s="104">
        <f>SUM(G472)</f>
        <v>318822.61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48635.96</v>
      </c>
      <c r="H637" s="164">
        <f>SUM(J468)</f>
        <v>48635.96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20790</v>
      </c>
      <c r="H638" s="164">
        <f>SUM(J472)</f>
        <v>20790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185612.02</v>
      </c>
      <c r="H640" s="104">
        <f>SUM(G461)</f>
        <v>185612.02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185612.02</v>
      </c>
      <c r="H642" s="104">
        <f>SUM(I461)</f>
        <v>185612.02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3635.96</v>
      </c>
      <c r="H644" s="104">
        <f>H408</f>
        <v>3635.96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48635.96</v>
      </c>
      <c r="H646" s="104">
        <f>L408</f>
        <v>48635.96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709238.47999999986</v>
      </c>
      <c r="H647" s="104">
        <f>L208+L226+L244</f>
        <v>709238.47999999986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142809.48000000001</v>
      </c>
      <c r="H648" s="104">
        <f>(J257+J338)-(J255+J336)</f>
        <v>142809.48000000001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709238.47999999986</v>
      </c>
      <c r="H649" s="104">
        <f>H598</f>
        <v>709238.47999999986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9200</v>
      </c>
      <c r="H652" s="104">
        <f>K263+K345</f>
        <v>9200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12312229.18</v>
      </c>
      <c r="G660" s="19">
        <f>(L229+L309+L359)</f>
        <v>0</v>
      </c>
      <c r="H660" s="19">
        <f>(L247+L328+L360)</f>
        <v>0</v>
      </c>
      <c r="I660" s="19">
        <f>SUM(F660:H660)</f>
        <v>12312229.18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80427.44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80427.44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717638.47999999986</v>
      </c>
      <c r="G662" s="19">
        <f>(L226+L306)-(J226+J306)</f>
        <v>0</v>
      </c>
      <c r="H662" s="19">
        <f>(L244+L325)-(J244+J325)</f>
        <v>0</v>
      </c>
      <c r="I662" s="19">
        <f>SUM(F662:H662)</f>
        <v>717638.47999999986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439193.53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439193.53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11074969.73</v>
      </c>
      <c r="G664" s="19">
        <f>G660-SUM(G661:G663)</f>
        <v>0</v>
      </c>
      <c r="H664" s="19">
        <f>H660-SUM(H661:H663)</f>
        <v>0</v>
      </c>
      <c r="I664" s="19">
        <f>I660-SUM(I661:I663)</f>
        <v>11074969.73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650.39</v>
      </c>
      <c r="G665" s="248"/>
      <c r="H665" s="248"/>
      <c r="I665" s="19">
        <f>SUM(F665:H665)</f>
        <v>650.39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17028.2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17028.2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17028.2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17028.2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SEABROK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3935461.82</v>
      </c>
      <c r="C9" s="229">
        <f>'DOE25'!G197+'DOE25'!G215+'DOE25'!G233+'DOE25'!G276+'DOE25'!G295+'DOE25'!G314</f>
        <v>1490920.4200000002</v>
      </c>
    </row>
    <row r="10" spans="1:3" x14ac:dyDescent="0.2">
      <c r="A10" t="s">
        <v>779</v>
      </c>
      <c r="B10" s="240">
        <f>1875229.23+1481120.52+10187.5+14325+70576</f>
        <v>3451438.25</v>
      </c>
      <c r="C10" s="240">
        <f>1405414.49+3284.31+2476.31+40253.7-584.75</f>
        <v>1450844.06</v>
      </c>
    </row>
    <row r="11" spans="1:3" x14ac:dyDescent="0.2">
      <c r="A11" t="s">
        <v>780</v>
      </c>
      <c r="B11" s="240">
        <f>80806.64+82880.87+99750.97+11563.75+13056.09+3644.8+102123.86</f>
        <v>393826.98</v>
      </c>
      <c r="C11" s="240">
        <f>23732.69+278.82+998.79+7812.47</f>
        <v>32822.769999999997</v>
      </c>
    </row>
    <row r="12" spans="1:3" x14ac:dyDescent="0.2">
      <c r="A12" t="s">
        <v>781</v>
      </c>
      <c r="B12" s="240">
        <f>60703.04+17857.5+1382.5+5057.5+5196.05</f>
        <v>90196.590000000011</v>
      </c>
      <c r="C12" s="240">
        <f>6363.4+105.76+784.43</f>
        <v>7253.59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3935461.82</v>
      </c>
      <c r="C13" s="231">
        <f>SUM(C10:C12)</f>
        <v>1490920.4200000002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1383595.9</v>
      </c>
      <c r="C18" s="229">
        <f>'DOE25'!G198+'DOE25'!G216+'DOE25'!G234+'DOE25'!G277+'DOE25'!G296+'DOE25'!G315</f>
        <v>456455.57999999996</v>
      </c>
    </row>
    <row r="19" spans="1:3" x14ac:dyDescent="0.2">
      <c r="A19" t="s">
        <v>779</v>
      </c>
      <c r="B19" s="240">
        <f>535465.19+63196</f>
        <v>598661.18999999994</v>
      </c>
      <c r="C19" s="240">
        <f>236432.52+86853.71+34491.34</f>
        <v>357777.56999999995</v>
      </c>
    </row>
    <row r="20" spans="1:3" x14ac:dyDescent="0.2">
      <c r="A20" t="s">
        <v>780</v>
      </c>
      <c r="B20" s="240">
        <f>197221.2+417945.31+43187.21</f>
        <v>658353.72</v>
      </c>
      <c r="C20" s="240">
        <f>36068.68+3303.81</f>
        <v>39372.49</v>
      </c>
    </row>
    <row r="21" spans="1:3" x14ac:dyDescent="0.2">
      <c r="A21" t="s">
        <v>781</v>
      </c>
      <c r="B21" s="240">
        <f>82000.03+44580.96</f>
        <v>126580.98999999999</v>
      </c>
      <c r="C21" s="240">
        <f>41993.81+17311.71</f>
        <v>59305.52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1383595.9</v>
      </c>
      <c r="C22" s="231">
        <f>SUM(C19:C21)</f>
        <v>456455.57999999996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58089.479999999996</v>
      </c>
      <c r="C36" s="235">
        <f>'DOE25'!G200+'DOE25'!G218+'DOE25'!G236+'DOE25'!G279+'DOE25'!G298+'DOE25'!G317</f>
        <v>5328.75</v>
      </c>
    </row>
    <row r="37" spans="1:3" x14ac:dyDescent="0.2">
      <c r="A37" t="s">
        <v>779</v>
      </c>
      <c r="B37" s="240">
        <f>4300+19352.48</f>
        <v>23652.48</v>
      </c>
      <c r="C37" s="240">
        <f>1567.55+971.8</f>
        <v>2539.35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34437</v>
      </c>
      <c r="C39" s="240">
        <v>2789.4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58089.479999999996</v>
      </c>
      <c r="C40" s="231">
        <f>SUM(C37:C39)</f>
        <v>5328.75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SEABROK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7485813.1000000015</v>
      </c>
      <c r="D5" s="20">
        <f>SUM('DOE25'!L197:L200)+SUM('DOE25'!L215:L218)+SUM('DOE25'!L233:L236)-F5-G5</f>
        <v>7457983.6600000011</v>
      </c>
      <c r="E5" s="243"/>
      <c r="F5" s="255">
        <f>SUM('DOE25'!J197:J200)+SUM('DOE25'!J215:J218)+SUM('DOE25'!J233:J236)</f>
        <v>17885.440000000002</v>
      </c>
      <c r="G5" s="53">
        <f>SUM('DOE25'!K197:K200)+SUM('DOE25'!K215:K218)+SUM('DOE25'!K233:K236)</f>
        <v>9944</v>
      </c>
      <c r="H5" s="259"/>
    </row>
    <row r="6" spans="1:9" x14ac:dyDescent="0.2">
      <c r="A6" s="32">
        <v>2100</v>
      </c>
      <c r="B6" t="s">
        <v>801</v>
      </c>
      <c r="C6" s="245">
        <f t="shared" si="0"/>
        <v>556836.16</v>
      </c>
      <c r="D6" s="20">
        <f>'DOE25'!L202+'DOE25'!L220+'DOE25'!L238-F6-G6</f>
        <v>556836.16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578988.35000000009</v>
      </c>
      <c r="D7" s="20">
        <f>'DOE25'!L203+'DOE25'!L221+'DOE25'!L239-F7-G7</f>
        <v>514558.24000000011</v>
      </c>
      <c r="E7" s="243"/>
      <c r="F7" s="255">
        <f>'DOE25'!J203+'DOE25'!J221+'DOE25'!J239</f>
        <v>64430.11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233415.15000000002</v>
      </c>
      <c r="D8" s="243"/>
      <c r="E8" s="20">
        <f>'DOE25'!L204+'DOE25'!L222+'DOE25'!L240-F8-G8-D9-D11</f>
        <v>228455.11000000002</v>
      </c>
      <c r="F8" s="255">
        <f>'DOE25'!J204+'DOE25'!J222+'DOE25'!J240</f>
        <v>0</v>
      </c>
      <c r="G8" s="53">
        <f>'DOE25'!K204+'DOE25'!K222+'DOE25'!K240</f>
        <v>4960.04</v>
      </c>
      <c r="H8" s="259"/>
    </row>
    <row r="9" spans="1:9" x14ac:dyDescent="0.2">
      <c r="A9" s="32">
        <v>2310</v>
      </c>
      <c r="B9" t="s">
        <v>818</v>
      </c>
      <c r="C9" s="245">
        <f t="shared" si="0"/>
        <v>50382.36</v>
      </c>
      <c r="D9" s="244">
        <v>50382.36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12028.8</v>
      </c>
      <c r="D10" s="243"/>
      <c r="E10" s="244">
        <v>12028.8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120225.84</v>
      </c>
      <c r="D11" s="244">
        <v>120225.84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666145.29</v>
      </c>
      <c r="D12" s="20">
        <f>'DOE25'!L205+'DOE25'!L223+'DOE25'!L241-F12-G12</f>
        <v>663798.30000000005</v>
      </c>
      <c r="E12" s="243"/>
      <c r="F12" s="255">
        <f>'DOE25'!J205+'DOE25'!J223+'DOE25'!J241</f>
        <v>0</v>
      </c>
      <c r="G12" s="53">
        <f>'DOE25'!K205+'DOE25'!K223+'DOE25'!K241</f>
        <v>2346.9899999999998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1090805.2200000004</v>
      </c>
      <c r="D14" s="20">
        <f>'DOE25'!L207+'DOE25'!L225+'DOE25'!L243-F14-G14</f>
        <v>1039473.1500000003</v>
      </c>
      <c r="E14" s="243"/>
      <c r="F14" s="255">
        <f>'DOE25'!J207+'DOE25'!J225+'DOE25'!J243</f>
        <v>50153.95</v>
      </c>
      <c r="G14" s="53">
        <f>'DOE25'!K207+'DOE25'!K225+'DOE25'!K243</f>
        <v>1178.1199999999999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709238.47999999986</v>
      </c>
      <c r="D15" s="20">
        <f>'DOE25'!L208+'DOE25'!L226+'DOE25'!L244-F15-G15</f>
        <v>709238.47999999986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884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884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53635.73</v>
      </c>
      <c r="D22" s="243"/>
      <c r="E22" s="243"/>
      <c r="F22" s="255">
        <f>'DOE25'!L255+'DOE25'!L336</f>
        <v>53635.73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129799.56</v>
      </c>
      <c r="D25" s="243"/>
      <c r="E25" s="243"/>
      <c r="F25" s="258"/>
      <c r="G25" s="256"/>
      <c r="H25" s="257">
        <f>'DOE25'!L260+'DOE25'!L261+'DOE25'!L341+'DOE25'!L342</f>
        <v>129799.56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186991.31999999992</v>
      </c>
      <c r="D29" s="20">
        <f>'DOE25'!L358+'DOE25'!L359+'DOE25'!L360-'DOE25'!I367-F29-G29</f>
        <v>181522.37999999992</v>
      </c>
      <c r="E29" s="243"/>
      <c r="F29" s="255">
        <f>'DOE25'!J358+'DOE25'!J359+'DOE25'!J360</f>
        <v>1298.72</v>
      </c>
      <c r="G29" s="53">
        <f>'DOE25'!K358+'DOE25'!K359+'DOE25'!K360</f>
        <v>4170.22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500672.62000000005</v>
      </c>
      <c r="D31" s="20">
        <f>'DOE25'!L290+'DOE25'!L309+'DOE25'!L328+'DOE25'!L333+'DOE25'!L334+'DOE25'!L335-F31-G31</f>
        <v>476469.36000000004</v>
      </c>
      <c r="E31" s="243"/>
      <c r="F31" s="255">
        <f>'DOE25'!J290+'DOE25'!J309+'DOE25'!J328+'DOE25'!J333+'DOE25'!J334+'DOE25'!J335</f>
        <v>10339.98</v>
      </c>
      <c r="G31" s="53">
        <f>'DOE25'!K290+'DOE25'!K309+'DOE25'!K328+'DOE25'!K333+'DOE25'!K334+'DOE25'!K335</f>
        <v>13863.28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11770487.930000002</v>
      </c>
      <c r="E33" s="246">
        <f>SUM(E5:E31)</f>
        <v>240483.91</v>
      </c>
      <c r="F33" s="246">
        <f>SUM(F5:F31)</f>
        <v>197743.93000000002</v>
      </c>
      <c r="G33" s="246">
        <f>SUM(G5:G31)</f>
        <v>37346.65</v>
      </c>
      <c r="H33" s="246">
        <f>SUM(H5:H31)</f>
        <v>129799.56</v>
      </c>
    </row>
    <row r="35" spans="2:8" ht="12" thickBot="1" x14ac:dyDescent="0.25">
      <c r="B35" s="253" t="s">
        <v>847</v>
      </c>
      <c r="D35" s="254">
        <f>E33</f>
        <v>240483.91</v>
      </c>
      <c r="E35" s="249"/>
    </row>
    <row r="36" spans="2:8" ht="12" thickTop="1" x14ac:dyDescent="0.2">
      <c r="B36" t="s">
        <v>815</v>
      </c>
      <c r="D36" s="20">
        <f>D33</f>
        <v>11770487.930000002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SEABROK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595866.77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185612.02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56401.36</v>
      </c>
      <c r="D11" s="95">
        <f>'DOE25'!G12</f>
        <v>-10331.73</v>
      </c>
      <c r="E11" s="95">
        <f>'DOE25'!H12</f>
        <v>46069.63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5399.78</v>
      </c>
      <c r="D12" s="95">
        <f>'DOE25'!G13</f>
        <v>12514.94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5001.0600000000004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3542.75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662668.97000000009</v>
      </c>
      <c r="D18" s="41">
        <f>SUM(D8:D17)</f>
        <v>5725.9600000000009</v>
      </c>
      <c r="E18" s="41">
        <f>SUM(E8:E17)</f>
        <v>46069.63</v>
      </c>
      <c r="F18" s="41">
        <f>SUM(F8:F17)</f>
        <v>0</v>
      </c>
      <c r="G18" s="41">
        <f>SUM(G8:G17)</f>
        <v>185612.02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46069.63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121709.8</v>
      </c>
      <c r="D23" s="95">
        <f>'DOE25'!G24</f>
        <v>140.52000000000001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4156.4799999999996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41969.919999999998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37606.839999999997</v>
      </c>
      <c r="D29" s="95">
        <f>'DOE25'!G30</f>
        <v>1995.13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205443.04</v>
      </c>
      <c r="D31" s="41">
        <f>SUM(D21:D30)</f>
        <v>2135.65</v>
      </c>
      <c r="E31" s="41">
        <f>SUM(E21:E30)</f>
        <v>46069.63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3542.75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103631.7</v>
      </c>
      <c r="D47" s="95">
        <f>'DOE25'!G48</f>
        <v>47.56</v>
      </c>
      <c r="E47" s="95">
        <f>'DOE25'!H48</f>
        <v>0</v>
      </c>
      <c r="F47" s="95">
        <f>'DOE25'!I48</f>
        <v>0</v>
      </c>
      <c r="G47" s="95">
        <f>'DOE25'!J48</f>
        <v>185612.02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98659.39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209934.84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457225.93000000005</v>
      </c>
      <c r="D50" s="41">
        <f>SUM(D34:D49)</f>
        <v>3590.31</v>
      </c>
      <c r="E50" s="41">
        <f>SUM(E34:E49)</f>
        <v>0</v>
      </c>
      <c r="F50" s="41">
        <f>SUM(F34:F49)</f>
        <v>0</v>
      </c>
      <c r="G50" s="41">
        <f>SUM(G34:G49)</f>
        <v>185612.02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662668.97000000009</v>
      </c>
      <c r="D51" s="41">
        <f>D50+D31</f>
        <v>5725.96</v>
      </c>
      <c r="E51" s="41">
        <f>E50+E31</f>
        <v>46069.63</v>
      </c>
      <c r="F51" s="41">
        <f>F50+F31</f>
        <v>0</v>
      </c>
      <c r="G51" s="41">
        <f>G50+G31</f>
        <v>185612.02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8617389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14527.6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1132.6500000000001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3635.96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80427.44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169476.1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185136.35</v>
      </c>
      <c r="D62" s="130">
        <f>SUM(D57:D61)</f>
        <v>80427.44</v>
      </c>
      <c r="E62" s="130">
        <f>SUM(E57:E61)</f>
        <v>0</v>
      </c>
      <c r="F62" s="130">
        <f>SUM(F57:F61)</f>
        <v>0</v>
      </c>
      <c r="G62" s="130">
        <f>SUM(G57:G61)</f>
        <v>3635.96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8802525.3499999996</v>
      </c>
      <c r="D63" s="22">
        <f>D56+D62</f>
        <v>80427.44</v>
      </c>
      <c r="E63" s="22">
        <f>E56+E62</f>
        <v>0</v>
      </c>
      <c r="F63" s="22">
        <f>F56+F62</f>
        <v>0</v>
      </c>
      <c r="G63" s="22">
        <f>G56+G62</f>
        <v>3635.96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845050.99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2102249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2947299.99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61802.53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4623.68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93802.53</v>
      </c>
      <c r="D78" s="130">
        <f>SUM(D72:D77)</f>
        <v>4623.68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3041102.52</v>
      </c>
      <c r="D81" s="130">
        <f>SUM(D79:D80)+D78+D70</f>
        <v>4623.68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89675.37</v>
      </c>
      <c r="D88" s="95">
        <f>SUM('DOE25'!G153:G161)</f>
        <v>202364.53000000003</v>
      </c>
      <c r="E88" s="95">
        <f>SUM('DOE25'!H153:H161)</f>
        <v>500672.62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15797.27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89675.37</v>
      </c>
      <c r="D91" s="131">
        <f>SUM(D85:D90)</f>
        <v>218161.80000000002</v>
      </c>
      <c r="E91" s="131">
        <f>SUM(E85:E90)</f>
        <v>500672.62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9200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20790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20790</v>
      </c>
      <c r="D103" s="86">
        <f>SUM(D93:D102)</f>
        <v>9200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11954093.239999998</v>
      </c>
      <c r="D104" s="86">
        <f>D63+D81+D91+D103</f>
        <v>312412.92000000004</v>
      </c>
      <c r="E104" s="86">
        <f>E63+E81+E91+E103</f>
        <v>500672.62</v>
      </c>
      <c r="F104" s="86">
        <f>F63+F81+F91+F103</f>
        <v>0</v>
      </c>
      <c r="G104" s="86">
        <f>G63+G81+G103</f>
        <v>48635.96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5315767.8400000008</v>
      </c>
      <c r="D109" s="24" t="s">
        <v>289</v>
      </c>
      <c r="E109" s="95">
        <f>('DOE25'!L276)+('DOE25'!L295)+('DOE25'!L314)</f>
        <v>325901.83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2091742.27</v>
      </c>
      <c r="D110" s="24" t="s">
        <v>289</v>
      </c>
      <c r="E110" s="95">
        <f>('DOE25'!L277)+('DOE25'!L296)+('DOE25'!L315)</f>
        <v>147235.71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78302.989999999991</v>
      </c>
      <c r="D112" s="24" t="s">
        <v>289</v>
      </c>
      <c r="E112" s="95">
        <f>+('DOE25'!L279)+('DOE25'!L298)+('DOE25'!L317)</f>
        <v>5271.8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32975.86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7518788.9600000018</v>
      </c>
      <c r="D115" s="86">
        <f>SUM(D109:D114)</f>
        <v>0</v>
      </c>
      <c r="E115" s="86">
        <f>SUM(E109:E114)</f>
        <v>478409.34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556836.16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578988.35000000009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404023.35</v>
      </c>
      <c r="D120" s="24" t="s">
        <v>289</v>
      </c>
      <c r="E120" s="95">
        <f>+('DOE25'!L283)+('DOE25'!L302)+('DOE25'!L321)</f>
        <v>13863.28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666145.29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1090805.2200000002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709238.47999999986</v>
      </c>
      <c r="D124" s="24" t="s">
        <v>289</v>
      </c>
      <c r="E124" s="95">
        <f>+('DOE25'!L287)+('DOE25'!L306)+('DOE25'!L325)</f>
        <v>8400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884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318822.60999999993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4006920.8500000006</v>
      </c>
      <c r="D128" s="86">
        <f>SUM(D118:D127)</f>
        <v>318822.60999999993</v>
      </c>
      <c r="E128" s="86">
        <f>SUM(E118:E127)</f>
        <v>22263.279999999999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53635.73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24799.56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20790</v>
      </c>
    </row>
    <row r="135" spans="1:7" x14ac:dyDescent="0.2">
      <c r="A135" t="s">
        <v>233</v>
      </c>
      <c r="B135" s="32" t="s">
        <v>234</v>
      </c>
      <c r="C135" s="95">
        <f>'DOE25'!L263</f>
        <v>9200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48635.96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-3635.9599999999991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237635.29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20790</v>
      </c>
    </row>
    <row r="145" spans="1:9" ht="12.75" thickTop="1" thickBot="1" x14ac:dyDescent="0.25">
      <c r="A145" s="33" t="s">
        <v>244</v>
      </c>
      <c r="C145" s="86">
        <f>(C115+C128+C144)</f>
        <v>11763345.100000001</v>
      </c>
      <c r="D145" s="86">
        <f>(D115+D128+D144)</f>
        <v>318822.60999999993</v>
      </c>
      <c r="E145" s="86">
        <f>(E115+E128+E144)</f>
        <v>500672.62</v>
      </c>
      <c r="F145" s="86">
        <f>(F115+F128+F144)</f>
        <v>0</v>
      </c>
      <c r="G145" s="86">
        <f>(G115+G128+G144)</f>
        <v>20790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4/10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1780093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1383093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1383093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123088.48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123088.48</v>
      </c>
    </row>
    <row r="159" spans="1:9" x14ac:dyDescent="0.2">
      <c r="A159" s="22" t="s">
        <v>35</v>
      </c>
      <c r="B159" s="137">
        <f>'DOE25'!F498</f>
        <v>1269093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1269093</v>
      </c>
    </row>
    <row r="160" spans="1:9" x14ac:dyDescent="0.2">
      <c r="A160" s="22" t="s">
        <v>36</v>
      </c>
      <c r="B160" s="137">
        <f>'DOE25'!F499</f>
        <v>100033.13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100033.13</v>
      </c>
    </row>
    <row r="161" spans="1:7" x14ac:dyDescent="0.2">
      <c r="A161" s="22" t="s">
        <v>37</v>
      </c>
      <c r="B161" s="137">
        <f>'DOE25'!F500</f>
        <v>1369126.13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1369126.13</v>
      </c>
    </row>
    <row r="162" spans="1:7" x14ac:dyDescent="0.2">
      <c r="A162" s="22" t="s">
        <v>38</v>
      </c>
      <c r="B162" s="137">
        <f>'DOE25'!F501</f>
        <v>114000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114000</v>
      </c>
    </row>
    <row r="163" spans="1:7" x14ac:dyDescent="0.2">
      <c r="A163" s="22" t="s">
        <v>39</v>
      </c>
      <c r="B163" s="137">
        <f>'DOE25'!F502</f>
        <v>16708.78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16708.78</v>
      </c>
    </row>
    <row r="164" spans="1:7" x14ac:dyDescent="0.2">
      <c r="A164" s="22" t="s">
        <v>246</v>
      </c>
      <c r="B164" s="137">
        <f>'DOE25'!F503</f>
        <v>130708.78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130708.78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SEABROK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17028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17028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5641670</v>
      </c>
      <c r="D10" s="182">
        <f>ROUND((C10/$C$28)*100,1)</f>
        <v>45.9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2238978</v>
      </c>
      <c r="D11" s="182">
        <f>ROUND((C11/$C$28)*100,1)</f>
        <v>18.2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83575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556836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578988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418771</v>
      </c>
      <c r="D17" s="182">
        <f t="shared" si="0"/>
        <v>3.4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666145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1090805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717638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32976</v>
      </c>
      <c r="D23" s="182">
        <f t="shared" si="0"/>
        <v>0.3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24800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238395.56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12289577.560000001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53636</v>
      </c>
    </row>
    <row r="30" spans="1:4" x14ac:dyDescent="0.2">
      <c r="B30" s="187" t="s">
        <v>729</v>
      </c>
      <c r="C30" s="180">
        <f>SUM(C28:C29)</f>
        <v>12343213.560000001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8617389</v>
      </c>
      <c r="D35" s="182">
        <f t="shared" ref="D35:D40" si="1">ROUND((C35/$C$41)*100,1)</f>
        <v>68.099999999999994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188772.31000000052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2947300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98426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808510</v>
      </c>
      <c r="D39" s="182">
        <f t="shared" si="1"/>
        <v>6.4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12660397.310000001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SEABROK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914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915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2014-09-04T15:30:18Z</cp:lastPrinted>
  <dcterms:created xsi:type="dcterms:W3CDTF">1997-12-04T19:04:30Z</dcterms:created>
  <dcterms:modified xsi:type="dcterms:W3CDTF">2014-09-04T17:18:46Z</dcterms:modified>
</cp:coreProperties>
</file>