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C39" i="12" l="1"/>
  <c r="C37" i="12"/>
  <c r="B39" i="12"/>
  <c r="B37" i="12"/>
  <c r="C20" i="12"/>
  <c r="C19" i="12"/>
  <c r="B20" i="12"/>
  <c r="B19" i="12"/>
  <c r="C10" i="12"/>
  <c r="B10" i="12"/>
  <c r="F613" i="1"/>
  <c r="H568" i="1"/>
  <c r="J521" i="1"/>
  <c r="I523" i="1"/>
  <c r="I522" i="1"/>
  <c r="I521" i="1"/>
  <c r="H523" i="1"/>
  <c r="H522" i="1"/>
  <c r="H521" i="1"/>
  <c r="G523" i="1"/>
  <c r="G522" i="1"/>
  <c r="G521" i="1"/>
  <c r="F523" i="1"/>
  <c r="F522" i="1"/>
  <c r="F521" i="1"/>
  <c r="H604" i="1" l="1"/>
  <c r="I604" i="1"/>
  <c r="J604" i="1"/>
  <c r="H400" i="1"/>
  <c r="H317" i="1"/>
  <c r="H315" i="1"/>
  <c r="H296" i="1"/>
  <c r="H277" i="1"/>
  <c r="J358" i="1"/>
  <c r="H360" i="1"/>
  <c r="H359" i="1"/>
  <c r="H358" i="1"/>
  <c r="H243" i="1"/>
  <c r="H242" i="1"/>
  <c r="H241" i="1"/>
  <c r="H240" i="1"/>
  <c r="H239" i="1"/>
  <c r="H238" i="1"/>
  <c r="H236" i="1"/>
  <c r="H234" i="1"/>
  <c r="H233" i="1"/>
  <c r="H225" i="1"/>
  <c r="H224" i="1"/>
  <c r="H223" i="1"/>
  <c r="H222" i="1"/>
  <c r="H221" i="1"/>
  <c r="H220" i="1"/>
  <c r="H218" i="1"/>
  <c r="H216" i="1"/>
  <c r="H215" i="1"/>
  <c r="H207" i="1"/>
  <c r="H206" i="1"/>
  <c r="H205" i="1"/>
  <c r="H204" i="1"/>
  <c r="H203" i="1"/>
  <c r="H202" i="1"/>
  <c r="H198" i="1"/>
  <c r="H197" i="1"/>
  <c r="F96" i="1" l="1"/>
  <c r="F57" i="1"/>
  <c r="F28" i="1"/>
  <c r="F14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C18" i="10" s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3" i="10"/>
  <c r="C15" i="10"/>
  <c r="C16" i="10"/>
  <c r="C17" i="10"/>
  <c r="C19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F661" i="1"/>
  <c r="G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C115" i="2"/>
  <c r="D115" i="2"/>
  <c r="F115" i="2"/>
  <c r="G115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H617" i="1" s="1"/>
  <c r="J617" i="1" s="1"/>
  <c r="G32" i="1"/>
  <c r="H32" i="1"/>
  <c r="I32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J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H640" i="1"/>
  <c r="G641" i="1"/>
  <c r="H641" i="1"/>
  <c r="G642" i="1"/>
  <c r="H642" i="1"/>
  <c r="G643" i="1"/>
  <c r="H643" i="1"/>
  <c r="G644" i="1"/>
  <c r="H644" i="1"/>
  <c r="G645" i="1"/>
  <c r="J645" i="1" s="1"/>
  <c r="H645" i="1"/>
  <c r="H647" i="1"/>
  <c r="G649" i="1"/>
  <c r="G650" i="1"/>
  <c r="G651" i="1"/>
  <c r="G652" i="1"/>
  <c r="H652" i="1"/>
  <c r="G653" i="1"/>
  <c r="H653" i="1"/>
  <c r="G654" i="1"/>
  <c r="H654" i="1"/>
  <c r="H655" i="1"/>
  <c r="F192" i="1"/>
  <c r="L256" i="1"/>
  <c r="K257" i="1"/>
  <c r="K271" i="1" s="1"/>
  <c r="I257" i="1"/>
  <c r="I271" i="1" s="1"/>
  <c r="G164" i="2"/>
  <c r="C18" i="2"/>
  <c r="C26" i="10"/>
  <c r="L328" i="1"/>
  <c r="H660" i="1" s="1"/>
  <c r="H664" i="1" s="1"/>
  <c r="L351" i="1"/>
  <c r="I662" i="1"/>
  <c r="L290" i="1"/>
  <c r="A31" i="12"/>
  <c r="C70" i="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E8" i="13"/>
  <c r="C8" i="13" s="1"/>
  <c r="C91" i="2"/>
  <c r="F78" i="2"/>
  <c r="F81" i="2" s="1"/>
  <c r="D31" i="2"/>
  <c r="C78" i="2"/>
  <c r="C81" i="2" s="1"/>
  <c r="D50" i="2"/>
  <c r="G157" i="2"/>
  <c r="F18" i="2"/>
  <c r="G161" i="2"/>
  <c r="G156" i="2"/>
  <c r="E115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J257" i="1"/>
  <c r="J271" i="1" s="1"/>
  <c r="H112" i="1"/>
  <c r="F112" i="1"/>
  <c r="J641" i="1"/>
  <c r="J639" i="1"/>
  <c r="K605" i="1"/>
  <c r="G648" i="1" s="1"/>
  <c r="J571" i="1"/>
  <c r="K571" i="1"/>
  <c r="L433" i="1"/>
  <c r="L419" i="1"/>
  <c r="D81" i="2"/>
  <c r="I169" i="1"/>
  <c r="H169" i="1"/>
  <c r="G552" i="1"/>
  <c r="J644" i="1"/>
  <c r="J643" i="1"/>
  <c r="J476" i="1"/>
  <c r="H626" i="1" s="1"/>
  <c r="H476" i="1"/>
  <c r="H624" i="1" s="1"/>
  <c r="J624" i="1" s="1"/>
  <c r="F476" i="1"/>
  <c r="H622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H257" i="1"/>
  <c r="H271" i="1" s="1"/>
  <c r="I552" i="1"/>
  <c r="K549" i="1"/>
  <c r="K550" i="1"/>
  <c r="G22" i="2"/>
  <c r="K545" i="1"/>
  <c r="J552" i="1"/>
  <c r="H552" i="1"/>
  <c r="C29" i="10"/>
  <c r="I661" i="1"/>
  <c r="H140" i="1"/>
  <c r="L401" i="1"/>
  <c r="C139" i="2" s="1"/>
  <c r="L393" i="1"/>
  <c r="C138" i="2" s="1"/>
  <c r="A13" i="12"/>
  <c r="F22" i="13"/>
  <c r="H25" i="13"/>
  <c r="C25" i="13" s="1"/>
  <c r="J634" i="1"/>
  <c r="H571" i="1"/>
  <c r="L560" i="1"/>
  <c r="J545" i="1"/>
  <c r="H338" i="1"/>
  <c r="H352" i="1" s="1"/>
  <c r="F338" i="1"/>
  <c r="F352" i="1" s="1"/>
  <c r="G192" i="1"/>
  <c r="H192" i="1"/>
  <c r="E128" i="2"/>
  <c r="C35" i="10"/>
  <c r="L309" i="1"/>
  <c r="D5" i="13"/>
  <c r="C5" i="13" s="1"/>
  <c r="E16" i="13"/>
  <c r="J655" i="1"/>
  <c r="L570" i="1"/>
  <c r="I571" i="1"/>
  <c r="I545" i="1"/>
  <c r="J636" i="1"/>
  <c r="G36" i="2"/>
  <c r="G545" i="1"/>
  <c r="H545" i="1"/>
  <c r="K551" i="1"/>
  <c r="C22" i="13"/>
  <c r="C16" i="13"/>
  <c r="H33" i="13"/>
  <c r="J622" i="1" l="1"/>
  <c r="E33" i="13"/>
  <c r="D35" i="13" s="1"/>
  <c r="L545" i="1"/>
  <c r="K552" i="1"/>
  <c r="L565" i="1"/>
  <c r="F552" i="1"/>
  <c r="K598" i="1"/>
  <c r="G647" i="1" s="1"/>
  <c r="J647" i="1" s="1"/>
  <c r="J649" i="1"/>
  <c r="J640" i="1"/>
  <c r="L362" i="1"/>
  <c r="G257" i="1"/>
  <c r="G271" i="1" s="1"/>
  <c r="C10" i="10"/>
  <c r="L211" i="1"/>
  <c r="F660" i="1" s="1"/>
  <c r="D6" i="13"/>
  <c r="C6" i="13" s="1"/>
  <c r="C118" i="2"/>
  <c r="C128" i="2" s="1"/>
  <c r="C62" i="2"/>
  <c r="C63" i="2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G635" i="1"/>
  <c r="J635" i="1" s="1"/>
  <c r="G104" i="2" l="1"/>
  <c r="D31" i="13"/>
  <c r="C31" i="13" s="1"/>
  <c r="C28" i="10"/>
  <c r="D23" i="10" s="1"/>
  <c r="G672" i="1"/>
  <c r="C5" i="10" s="1"/>
  <c r="L257" i="1"/>
  <c r="L271" i="1" s="1"/>
  <c r="G632" i="1" s="1"/>
  <c r="J632" i="1" s="1"/>
  <c r="F664" i="1"/>
  <c r="I660" i="1"/>
  <c r="I664" i="1" s="1"/>
  <c r="I672" i="1" s="1"/>
  <c r="C7" i="10" s="1"/>
  <c r="C145" i="2"/>
  <c r="C104" i="2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4" i="10"/>
  <c r="D19" i="10"/>
  <c r="D12" i="10"/>
  <c r="D25" i="10"/>
  <c r="D17" i="10"/>
  <c r="D15" i="10"/>
  <c r="D18" i="10"/>
  <c r="D20" i="10"/>
  <c r="D27" i="10"/>
  <c r="D10" i="10" l="1"/>
  <c r="D13" i="10"/>
  <c r="D26" i="10"/>
  <c r="D11" i="10"/>
  <c r="C30" i="10"/>
  <c r="D21" i="10"/>
  <c r="D16" i="10"/>
  <c r="D22" i="10"/>
  <c r="F672" i="1"/>
  <c r="C4" i="10" s="1"/>
  <c r="F667" i="1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<sst xmlns="http://schemas.openxmlformats.org/spreadsheetml/2006/main" count="3954" uniqueCount="912">
  <si>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</si>
  <si>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</si>
  <si>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</si>
  <si>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</si>
  <si>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</si>
  <si>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</si>
  <si>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</si>
  <si>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</si>
  <si>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</si>
  <si>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</si>
  <si>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</si>
  <si>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</si>
  <si>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</si>
  <si>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</si>
  <si>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</si>
  <si>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</si>
  <si>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</si>
  <si>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</si>
  <si>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</si>
  <si>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</si>
  <si>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</si>
  <si>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</si>
  <si>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</si>
  <si>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</si>
  <si>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</si>
  <si>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</si>
  <si>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</si>
  <si>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</si>
  <si>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</si>
  <si>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</si>
  <si>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</si>
  <si>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</si>
  <si>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</si>
  <si>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</si>
  <si>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</si>
  <si>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</si>
  <si>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</si>
  <si>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</si>
  <si>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</si>
  <si>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</si>
  <si>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</si>
  <si>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</si>
  <si>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</si>
  <si>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</si>
  <si>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</si>
  <si>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</si>
  <si>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</si>
  <si>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</si>
  <si>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</si>
  <si>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</si>
  <si>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</si>
  <si>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</si>
  <si>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</si>
  <si>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</si>
  <si>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</si>
  <si>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</si>
  <si>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</si>
  <si>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</si>
  <si>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</si>
  <si>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</si>
  <si>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</si>
  <si>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</si>
  <si>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</si>
  <si>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</si>
  <si>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</si>
  <si>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</si>
  <si>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</si>
  <si>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</si>
  <si>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</si>
  <si>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</si>
  <si>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</si>
  <si>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</si>
  <si>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</si>
  <si>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</si>
  <si>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</si>
  <si>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</si>
  <si>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</si>
  <si>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</si>
  <si>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</si>
  <si>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</si>
  <si>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</si>
  <si>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</si>
  <si>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</si>
  <si>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</si>
  <si>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</si>
  <si>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</si>
  <si>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</si>
  <si>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</si>
  <si>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</si>
  <si>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</si>
  <si>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</si>
  <si>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</si>
  <si>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</si>
  <si>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</si>
  <si>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</si>
  <si>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</si>
  <si>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</si>
  <si>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</si>
  <si>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</si>
  <si>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</si>
  <si>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</si>
  <si>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</si>
  <si>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</si>
  <si>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</si>
  <si>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</si>
  <si>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</si>
  <si>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</si>
  <si>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</si>
  <si>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</si>
  <si>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</si>
  <si>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</si>
  <si>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</si>
  <si>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</si>
  <si>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</si>
  <si>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</si>
  <si>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</si>
  <si>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</si>
  <si>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</si>
  <si>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</si>
  <si>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</si>
  <si>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</si>
  <si>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</si>
  <si>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</si>
  <si>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</si>
  <si>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</si>
  <si>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</si>
  <si>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</si>
  <si>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</si>
  <si>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</si>
  <si>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</si>
  <si>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</si>
  <si>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</si>
  <si>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</si>
  <si>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</si>
  <si>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</si>
  <si>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</si>
  <si>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</si>
  <si>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</si>
  <si>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</si>
  <si>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</si>
  <si>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</si>
  <si>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</si>
  <si>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</si>
  <si>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</si>
  <si>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</si>
  <si>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</si>
  <si>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</si>
  <si>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</si>
  <si>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</si>
  <si>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</si>
  <si>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</si>
  <si>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</si>
  <si>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</si>
  <si>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</si>
  <si>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</si>
  <si>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</si>
  <si>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</si>
  <si>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</si>
  <si>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</si>
  <si>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</si>
  <si>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</si>
  <si>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</si>
  <si>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</si>
  <si>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</si>
  <si>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</si>
  <si>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</si>
  <si>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</si>
  <si>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</si>
  <si>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</si>
  <si>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</si>
  <si>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</si>
  <si>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</si>
  <si>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</si>
  <si>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</si>
  <si>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</si>
  <si>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</si>
  <si>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</si>
  <si>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</si>
  <si>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</si>
  <si>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</si>
  <si>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</si>
  <si>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</si>
  <si>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</si>
  <si>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</si>
  <si>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</si>
  <si>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</si>
  <si>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</si>
  <si>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</si>
  <si>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</si>
  <si>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</si>
  <si>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</si>
  <si>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</si>
  <si>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</si>
  <si>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</si>
  <si>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</si>
  <si>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</si>
  <si>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</si>
  <si>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</si>
  <si>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</si>
  <si>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</si>
  <si>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</si>
  <si>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</si>
  <si>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</si>
  <si>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</si>
  <si>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</si>
  <si>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</si>
  <si>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</si>
  <si>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</si>
  <si>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</si>
  <si>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</si>
  <si>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</si>
  <si>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</si>
  <si>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</si>
  <si>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</si>
  <si>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</si>
  <si>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</si>
  <si>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</si>
  <si>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</si>
  <si>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</si>
  <si>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</si>
  <si>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</si>
  <si>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</si>
  <si>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</si>
  <si>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</si>
  <si>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</si>
  <si>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</si>
  <si>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</si>
  <si>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</si>
  <si>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</si>
  <si>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</si>
  <si>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</si>
  <si>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</si>
  <si>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</si>
  <si>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</si>
  <si>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</si>
  <si>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</si>
  <si>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</si>
  <si>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</si>
  <si>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</si>
  <si>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</si>
  <si>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</si>
  <si>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</si>
  <si>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</si>
  <si>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</si>
  <si>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</si>
  <si>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</si>
  <si>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</si>
  <si>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</si>
  <si>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</si>
  <si>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</si>
  <si>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</si>
  <si>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</si>
  <si>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</si>
  <si>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</si>
  <si>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</si>
  <si>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</si>
  <si>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</si>
  <si>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</si>
  <si>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</si>
  <si>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</si>
  <si>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</si>
  <si>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</si>
  <si>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</si>
  <si>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</si>
  <si>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</si>
  <si>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</si>
  <si>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</si>
  <si>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</si>
  <si>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</si>
  <si>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</si>
  <si>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</si>
  <si>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</si>
  <si>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</si>
  <si>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</si>
  <si>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</si>
  <si>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</si>
  <si>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</si>
  <si>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</si>
  <si>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</si>
  <si>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</si>
  <si>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</si>
  <si>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</si>
  <si>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</si>
  <si>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</si>
  <si>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</si>
  <si>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</si>
  <si>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</si>
  <si>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</si>
  <si>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</si>
  <si>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</si>
  <si>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</si>
  <si>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</si>
  <si>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</si>
  <si>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</si>
  <si>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</si>
  <si>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</si>
  <si>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</si>
  <si>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</si>
  <si>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</si>
  <si>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</si>
  <si>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</si>
  <si>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</si>
  <si>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</si>
  <si>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</si>
  <si>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</si>
  <si>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</si>
  <si>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</si>
  <si>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</si>
  <si>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</si>
  <si>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</si>
  <si>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</si>
  <si>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</si>
  <si>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</si>
  <si>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</si>
  <si>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</si>
  <si>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</si>
  <si>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</si>
  <si>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</si>
  <si>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</si>
  <si>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</si>
  <si>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</si>
  <si>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</si>
  <si>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</si>
  <si>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</si>
  <si>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</si>
  <si>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</si>
  <si>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</si>
  <si>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</si>
  <si>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</si>
  <si>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</si>
  <si>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</si>
  <si>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</si>
  <si>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</si>
  <si>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</si>
  <si>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</si>
  <si>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</si>
  <si>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</si>
  <si>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</si>
  <si>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</si>
  <si>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</si>
  <si>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</si>
  <si>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</si>
  <si>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</si>
  <si>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</si>
  <si>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</si>
  <si>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</si>
  <si>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</si>
  <si>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</si>
  <si>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</si>
  <si>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</si>
  <si>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</si>
  <si>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</si>
  <si>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</si>
  <si>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</si>
  <si>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</si>
  <si>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</si>
  <si>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</si>
  <si>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</si>
  <si>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</si>
  <si>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</si>
  <si>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</si>
  <si>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</si>
  <si>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</si>
  <si>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</si>
  <si>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</si>
  <si>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</si>
  <si>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</si>
  <si>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</si>
  <si>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</si>
  <si>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</si>
  <si>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</si>
  <si>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</si>
  <si>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</si>
  <si>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</si>
  <si>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</si>
  <si>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</si>
  <si>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</si>
  <si>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</si>
  <si>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</si>
  <si>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</si>
  <si>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</si>
  <si>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</si>
  <si>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</si>
  <si>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</si>
  <si>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</si>
  <si>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</si>
  <si>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</si>
  <si>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</si>
  <si>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</si>
  <si>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</si>
  <si>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</si>
  <si>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</si>
  <si>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</si>
  <si>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</si>
  <si>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</si>
  <si>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</si>
  <si>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</si>
  <si>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</si>
  <si>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</si>
  <si>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</si>
  <si>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</si>
  <si>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</si>
  <si>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</si>
  <si>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</si>
  <si>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</si>
  <si>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</si>
  <si>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</si>
  <si>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</si>
  <si>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</si>
  <si>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</si>
  <si>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</si>
  <si>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</si>
  <si>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</si>
  <si>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</si>
  <si>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</si>
  <si>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</si>
  <si>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</si>
  <si>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</si>
  <si>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</si>
  <si>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</si>
  <si>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</si>
  <si>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</si>
  <si>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</si>
  <si>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</si>
  <si>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</si>
  <si>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</si>
  <si>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</si>
  <si>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</si>
  <si>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</si>
  <si>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</si>
  <si>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</si>
  <si>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</si>
  <si>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</si>
  <si>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</si>
  <si>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</si>
  <si>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</si>
  <si>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</si>
  <si>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</si>
  <si>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</si>
  <si>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</si>
  <si>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</si>
  <si>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</si>
  <si>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</si>
  <si>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</si>
  <si>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</si>
  <si>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</si>
  <si>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</si>
  <si>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</si>
  <si>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</si>
  <si>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</si>
  <si>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</si>
  <si>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</si>
  <si>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</si>
  <si>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</si>
  <si>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</si>
  <si>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</si>
  <si>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</si>
  <si>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</si>
  <si>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</si>
  <si>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</si>
  <si>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</si>
  <si>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</si>
  <si>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</si>
  <si>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</si>
  <si>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</si>
  <si>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</si>
  <si>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</si>
  <si>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</si>
  <si>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</si>
  <si>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</si>
  <si>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</si>
  <si>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</si>
  <si>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</si>
  <si>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</si>
  <si>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</si>
  <si>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</si>
  <si>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</si>
  <si>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</si>
  <si>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</si>
  <si>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</si>
  <si>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</si>
  <si>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</si>
  <si>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</si>
  <si>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</si>
  <si>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</si>
  <si>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</si>
  <si>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</si>
  <si>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</si>
  <si>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</si>
  <si>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</si>
  <si>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</si>
  <si>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</si>
  <si>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</si>
  <si>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</si>
  <si>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</si>
  <si>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</si>
  <si>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</si>
  <si>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</si>
  <si>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</si>
  <si>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</si>
  <si>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</si>
  <si>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</si>
  <si>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</si>
  <si>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</si>
  <si>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</si>
  <si>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</si>
  <si>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</si>
  <si>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</si>
  <si>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</si>
  <si>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</si>
  <si>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</si>
  <si>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</si>
  <si>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</si>
  <si>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</si>
  <si>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</si>
  <si>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</si>
  <si>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</si>
  <si>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</si>
  <si>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</si>
  <si>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</si>
  <si>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</si>
  <si>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</si>
  <si>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</si>
  <si>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</si>
  <si>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</si>
  <si>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</si>
  <si>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</si>
  <si>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</si>
  <si>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</si>
  <si>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</si>
  <si>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</si>
  <si>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</si>
  <si>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</si>
  <si>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</si>
  <si>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</si>
  <si>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</si>
  <si>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</si>
  <si>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</si>
  <si>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</si>
  <si>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</si>
  <si>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</si>
  <si>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</si>
  <si>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</si>
  <si>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</si>
  <si>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</si>
  <si>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</si>
  <si>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</si>
  <si>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</si>
  <si>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</si>
  <si>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</si>
  <si>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</si>
  <si>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</si>
  <si>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</si>
  <si>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</si>
  <si>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</si>
  <si>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</si>
  <si>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</si>
  <si>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</si>
  <si>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</si>
  <si>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</si>
  <si>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</si>
  <si>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</si>
  <si>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</si>
  <si>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</si>
  <si>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</si>
  <si>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</si>
  <si>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</si>
  <si>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</si>
  <si>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</si>
  <si>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</si>
  <si>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</si>
  <si>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</si>
  <si>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</si>
  <si>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</si>
  <si>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</si>
  <si>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</si>
  <si>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</si>
  <si>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</si>
  <si>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</si>
  <si>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</si>
  <si>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</si>
  <si>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</si>
  <si>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</si>
  <si>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</si>
  <si>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</si>
  <si>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</si>
  <si>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</si>
  <si>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</si>
  <si>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</si>
  <si>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</si>
  <si>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</si>
  <si>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</si>
  <si>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</si>
  <si>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</si>
  <si>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</si>
  <si>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</si>
  <si>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</si>
  <si>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</si>
  <si>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</si>
  <si>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</si>
  <si>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</si>
  <si>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</si>
  <si>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</si>
  <si>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</si>
  <si>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</si>
  <si>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</si>
  <si>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</si>
  <si>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</si>
  <si>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</si>
  <si>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</si>
  <si>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</si>
  <si>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</si>
  <si>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</si>
  <si>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</si>
  <si>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</si>
  <si>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</si>
  <si>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</si>
  <si>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</si>
  <si>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</si>
  <si>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</si>
  <si>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</si>
  <si>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</si>
  <si>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</si>
  <si>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</si>
  <si>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</si>
  <si>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</si>
  <si>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</si>
  <si>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</si>
  <si>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</si>
  <si>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</si>
  <si>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</si>
  <si>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</si>
  <si>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</si>
  <si>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</si>
  <si>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</si>
  <si>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</si>
  <si>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</si>
  <si>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</si>
  <si>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</si>
  <si>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</si>
  <si>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</si>
  <si>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</si>
  <si>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</si>
  <si>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</si>
  <si>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</si>
  <si>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</si>
  <si>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</si>
  <si>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</si>
  <si>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</si>
  <si>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</si>
  <si>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</si>
  <si>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</si>
  <si>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</si>
  <si>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</si>
  <si>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</si>
  <si>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</si>
  <si>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</si>
  <si>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</si>
  <si>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</si>
  <si>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</si>
  <si>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</si>
  <si>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</si>
  <si>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</si>
  <si>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</si>
  <si>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</si>
  <si>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</si>
  <si>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</si>
  <si>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</si>
  <si>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</si>
  <si>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</si>
  <si>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</si>
  <si>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</si>
  <si>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</si>
  <si>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</si>
  <si>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</si>
  <si>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</si>
  <si>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</si>
  <si>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</si>
  <si>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</si>
  <si>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</si>
  <si>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</si>
  <si>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</si>
  <si>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</si>
  <si>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</si>
  <si>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</si>
  <si>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</si>
  <si>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</si>
  <si>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</si>
  <si>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</si>
  <si>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</si>
  <si>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</si>
  <si>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</si>
  <si>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</si>
  <si>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</si>
  <si>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</si>
  <si>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</si>
  <si>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</si>
  <si>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</si>
  <si>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</si>
  <si>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</si>
  <si>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</si>
  <si>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</si>
  <si>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</si>
  <si>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</si>
  <si>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</si>
  <si>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</si>
  <si>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</si>
  <si>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</si>
  <si>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</si>
  <si>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</si>
  <si>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</si>
  <si>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</si>
  <si>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</si>
  <si>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</si>
  <si>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</si>
  <si>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</si>
  <si>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</si>
  <si>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</si>
  <si>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</si>
  <si>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</si>
  <si>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</si>
  <si>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</si>
  <si>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</si>
  <si>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</si>
  <si>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</si>
  <si>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</si>
  <si>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</si>
  <si>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</si>
  <si>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</si>
  <si>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</si>
  <si>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</si>
  <si>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</si>
  <si>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</si>
  <si>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</si>
  <si>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</si>
  <si>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</si>
  <si>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</si>
  <si>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</si>
  <si>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</si>
  <si>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</si>
  <si>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</si>
  <si>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</si>
  <si>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</si>
  <si>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</si>
  <si>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</si>
  <si>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</si>
  <si>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</si>
  <si>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</si>
  <si>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</si>
  <si>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</si>
  <si>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</si>
  <si>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</si>
  <si>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</si>
  <si>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</si>
  <si>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</si>
  <si>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</si>
  <si>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</si>
  <si>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</si>
  <si>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</si>
  <si>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</si>
  <si>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</si>
  <si>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</si>
  <si>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</si>
  <si>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</si>
  <si>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</si>
  <si>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</si>
  <si>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</si>
  <si>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</si>
  <si>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</si>
  <si>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</si>
  <si>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</si>
  <si>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</si>
  <si>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</si>
  <si>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</si>
  <si>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</si>
  <si>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</si>
  <si>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</si>
  <si>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</si>
  <si>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</si>
  <si>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</si>
  <si>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</si>
  <si>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</si>
  <si>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</si>
  <si>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</si>
  <si>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</si>
  <si>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</si>
  <si>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</si>
  <si>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</si>
  <si>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</si>
  <si>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</si>
  <si>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</si>
  <si>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</si>
  <si>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</si>
  <si>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</si>
  <si>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</si>
  <si>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</si>
  <si>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</si>
  <si>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</si>
  <si>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</si>
  <si>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</si>
  <si>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</si>
  <si>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</si>
  <si>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</si>
  <si>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</si>
  <si>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</si>
  <si>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</si>
  <si>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</si>
  <si>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</si>
  <si>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</si>
  <si>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</si>
  <si>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</si>
  <si>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</si>
  <si>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</si>
  <si>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</si>
  <si>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</si>
  <si>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</si>
  <si>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</si>
  <si>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</si>
  <si>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</si>
  <si>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</si>
  <si>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</si>
  <si>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</si>
  <si>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</si>
  <si>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</si>
  <si>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</si>
  <si>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</si>
  <si>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</si>
  <si>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</si>
  <si>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</si>
  <si>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</si>
  <si>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</si>
  <si>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</si>
  <si>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</si>
  <si>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</si>
  <si>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</si>
  <si>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</si>
  <si>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</si>
  <si>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</si>
  <si>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</si>
  <si>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</si>
  <si>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</si>
  <si>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</si>
  <si>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</si>
  <si>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</si>
  <si>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</si>
  <si>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</si>
  <si>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</si>
  <si>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</si>
  <si>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</si>
  <si>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</si>
  <si>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</si>
  <si>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</si>
  <si>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</si>
  <si>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</si>
  <si>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</si>
  <si>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</si>
  <si>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</si>
  <si>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</si>
  <si>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</si>
  <si>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</si>
  <si>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</si>
  <si>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</si>
  <si>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</si>
  <si>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</si>
  <si>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</si>
  <si>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</si>
  <si>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</si>
  <si>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</si>
  <si>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</si>
  <si>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</si>
  <si>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</si>
  <si>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</si>
  <si>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</si>
  <si>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</si>
  <si>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</si>
  <si>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</si>
  <si>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</si>
  <si>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</si>
  <si>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</si>
  <si>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</si>
  <si>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</si>
  <si>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</si>
  <si>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</si>
  <si>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</si>
  <si>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</si>
  <si>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</si>
  <si>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</si>
  <si>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</si>
  <si>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</si>
  <si>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</si>
  <si>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</si>
  <si>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</si>
  <si>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</si>
  <si>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</si>
  <si>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</si>
  <si>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</si>
  <si>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</si>
  <si>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</si>
  <si>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</si>
  <si>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</si>
  <si>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</si>
  <si>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</si>
  <si>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</si>
  <si>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</si>
  <si>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</si>
  <si>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</si>
  <si>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</si>
  <si>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</si>
  <si>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</si>
  <si>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</si>
  <si>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</si>
  <si>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Shaker Regional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</si>
</sst>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4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486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1034463.1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2495.16</v>
      </c>
      <c r="G10" s="18">
        <v>125550.47</v>
      </c>
      <c r="H10" s="18"/>
      <c r="I10" s="18"/>
      <c r="J10" s="67">
        <f>SUM(I440)</f>
        <v>545462.63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325906.40000000002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36893.050000000003</v>
      </c>
      <c r="G13" s="18">
        <v>30828.87</v>
      </c>
      <c r="H13" s="18">
        <v>233843.04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10044.42</f>
        <v>10044.42</v>
      </c>
      <c r="G14" s="18">
        <v>3779.14</v>
      </c>
      <c r="H14" s="18">
        <v>4084.16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1409802.1300000001</v>
      </c>
      <c r="G19" s="41">
        <f>SUM(G9:G18)</f>
        <v>160158.48000000001</v>
      </c>
      <c r="H19" s="41">
        <f>SUM(H9:H18)</f>
        <v>237927.2</v>
      </c>
      <c r="I19" s="41">
        <f>SUM(I9:I18)</f>
        <v>0</v>
      </c>
      <c r="J19" s="41">
        <f>SUM(J9:J18)</f>
        <v>545462.63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0</v>
      </c>
      <c r="G22" s="18">
        <v>147083.15</v>
      </c>
      <c r="H22" s="18">
        <v>205267.66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21870.98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49125.17</v>
      </c>
      <c r="G24" s="18">
        <v>405.87</v>
      </c>
      <c r="H24" s="18">
        <v>711.58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f>75817.4-50</f>
        <v>75767.399999999994</v>
      </c>
      <c r="G28" s="18">
        <v>4431.7299999999996</v>
      </c>
      <c r="H28" s="18">
        <v>3832.39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8237.73</v>
      </c>
      <c r="H30" s="18">
        <v>28115.57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146763.54999999999</v>
      </c>
      <c r="G32" s="41">
        <f>SUM(G22:G31)</f>
        <v>160158.48000000001</v>
      </c>
      <c r="H32" s="41">
        <f>SUM(H22:H31)</f>
        <v>237927.2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28535.59</v>
      </c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50000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>
        <v>337724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450773.28</v>
      </c>
      <c r="G48" s="18"/>
      <c r="H48" s="18"/>
      <c r="I48" s="18"/>
      <c r="J48" s="13">
        <f>SUM(I459)</f>
        <v>545462.63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396006-0.29</f>
        <v>396005.71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1263038.58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545462.63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1409802.1300000001</v>
      </c>
      <c r="G52" s="41">
        <f>G51+G32</f>
        <v>160158.48000000001</v>
      </c>
      <c r="H52" s="41">
        <f>H51+H32</f>
        <v>237927.2</v>
      </c>
      <c r="I52" s="41">
        <f>I51+I32</f>
        <v>0</v>
      </c>
      <c r="J52" s="41">
        <f>J51+J32</f>
        <v>545462.63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f>3440278+8547109</f>
        <v>11987387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11987387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860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5276.16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>
        <v>40828.800000000003</v>
      </c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6136.16</v>
      </c>
      <c r="G79" s="45" t="s">
        <v>289</v>
      </c>
      <c r="H79" s="41">
        <f>SUM(H63:H78)</f>
        <v>40828.800000000003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f>257.27+0.82</f>
        <v>258.08999999999997</v>
      </c>
      <c r="G96" s="18">
        <v>35.69</v>
      </c>
      <c r="H96" s="18"/>
      <c r="I96" s="18"/>
      <c r="J96" s="18">
        <v>134.6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227053.12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>
        <v>954.96</v>
      </c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16853.8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17111.89</v>
      </c>
      <c r="G111" s="41">
        <f>SUM(G96:G110)</f>
        <v>228043.77</v>
      </c>
      <c r="H111" s="41">
        <f>SUM(H96:H110)</f>
        <v>0</v>
      </c>
      <c r="I111" s="41">
        <f>SUM(I96:I110)</f>
        <v>0</v>
      </c>
      <c r="J111" s="41">
        <f>SUM(J96:J110)</f>
        <v>134.6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12010635.050000001</v>
      </c>
      <c r="G112" s="41">
        <f>G60+G111</f>
        <v>228043.77</v>
      </c>
      <c r="H112" s="41">
        <f>H60+H79+H94+H111</f>
        <v>40828.800000000003</v>
      </c>
      <c r="I112" s="41">
        <f>I60+I111</f>
        <v>0</v>
      </c>
      <c r="J112" s="41">
        <f>J60+J111</f>
        <v>134.6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4782036.54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2104171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6886207.54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21918.880000000001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79484.009999999995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14257.6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7742.8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115660.49</v>
      </c>
      <c r="G136" s="41">
        <f>SUM(G123:G135)</f>
        <v>7742.8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7001868.0300000003</v>
      </c>
      <c r="G140" s="41">
        <f>G121+SUM(G136:G137)</f>
        <v>7742.8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378816.77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312741.23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274784.52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212508.42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212508.42</v>
      </c>
      <c r="G162" s="41">
        <f>SUM(G150:G161)</f>
        <v>274784.52</v>
      </c>
      <c r="H162" s="41">
        <f>SUM(H150:H161)</f>
        <v>691558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212508.42</v>
      </c>
      <c r="G169" s="41">
        <f>G147+G162+SUM(G163:G168)</f>
        <v>274784.52</v>
      </c>
      <c r="H169" s="41">
        <f>H147+H162+SUM(H163:H168)</f>
        <v>691558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33650.39</v>
      </c>
      <c r="H179" s="18"/>
      <c r="I179" s="18"/>
      <c r="J179" s="18">
        <v>50000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33650.39</v>
      </c>
      <c r="H183" s="41">
        <f>SUM(H179:H182)</f>
        <v>0</v>
      </c>
      <c r="I183" s="41">
        <f>SUM(I179:I182)</f>
        <v>0</v>
      </c>
      <c r="J183" s="41">
        <f>SUM(J179:J182)</f>
        <v>50000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18595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18595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18595</v>
      </c>
      <c r="G192" s="41">
        <f>G183+SUM(G188:G191)</f>
        <v>33650.39</v>
      </c>
      <c r="H192" s="41">
        <f>+H183+SUM(H188:H191)</f>
        <v>0</v>
      </c>
      <c r="I192" s="41">
        <f>I177+I183+SUM(I188:I191)</f>
        <v>0</v>
      </c>
      <c r="J192" s="41">
        <f>J183</f>
        <v>50000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19243606.500000004</v>
      </c>
      <c r="G193" s="47">
        <f>G112+G140+G169+G192</f>
        <v>544221.48</v>
      </c>
      <c r="H193" s="47">
        <f>H112+H140+H169+H192</f>
        <v>732386.8</v>
      </c>
      <c r="I193" s="47">
        <f>I112+I140+I169+I192</f>
        <v>0</v>
      </c>
      <c r="J193" s="47">
        <f>J112+J140+J192</f>
        <v>50134.6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2070937.21</v>
      </c>
      <c r="G197" s="18">
        <v>942209.47</v>
      </c>
      <c r="H197" s="18">
        <f>718+3812.53</f>
        <v>4530.5300000000007</v>
      </c>
      <c r="I197" s="18">
        <v>101034.22</v>
      </c>
      <c r="J197" s="18">
        <v>1829.88</v>
      </c>
      <c r="K197" s="18"/>
      <c r="L197" s="19">
        <f>SUM(F197:K197)</f>
        <v>3120541.3099999996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670196.18999999994</v>
      </c>
      <c r="G198" s="18">
        <v>322102.46999999997</v>
      </c>
      <c r="H198" s="18">
        <f>993.61+445.15</f>
        <v>1438.76</v>
      </c>
      <c r="I198" s="18">
        <v>2362.4899999999998</v>
      </c>
      <c r="J198" s="18">
        <v>2940.69</v>
      </c>
      <c r="K198" s="18"/>
      <c r="L198" s="19">
        <f>SUM(F198:K198)</f>
        <v>999040.59999999986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28264.59</v>
      </c>
      <c r="G200" s="18">
        <v>5239.67</v>
      </c>
      <c r="H200" s="18">
        <v>4625</v>
      </c>
      <c r="I200" s="18">
        <v>527.66999999999996</v>
      </c>
      <c r="J200" s="18"/>
      <c r="K200" s="18"/>
      <c r="L200" s="19">
        <f>SUM(F200:K200)</f>
        <v>38656.93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476992.95</v>
      </c>
      <c r="G202" s="18">
        <v>221935.31</v>
      </c>
      <c r="H202" s="18">
        <f>66658.03+99+1501.37</f>
        <v>68258.399999999994</v>
      </c>
      <c r="I202" s="18">
        <v>2212.12</v>
      </c>
      <c r="J202" s="18">
        <v>1099.27</v>
      </c>
      <c r="K202" s="18">
        <v>594.70000000000005</v>
      </c>
      <c r="L202" s="19">
        <f t="shared" ref="L202:L208" si="0">SUM(F202:K202)</f>
        <v>771092.75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177047.38</v>
      </c>
      <c r="G203" s="18">
        <v>123615.31</v>
      </c>
      <c r="H203" s="18">
        <f>35469.27+1066+323.99</f>
        <v>36859.259999999995</v>
      </c>
      <c r="I203" s="18">
        <v>16459.96</v>
      </c>
      <c r="J203" s="18">
        <v>32010.55</v>
      </c>
      <c r="K203" s="18">
        <v>700.25</v>
      </c>
      <c r="L203" s="19">
        <f t="shared" si="0"/>
        <v>386692.71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67559.39</v>
      </c>
      <c r="G204" s="18">
        <v>19956.77</v>
      </c>
      <c r="H204" s="18">
        <f>19039+12487.58</f>
        <v>31526.58</v>
      </c>
      <c r="I204" s="18">
        <v>2637.6</v>
      </c>
      <c r="J204" s="18"/>
      <c r="K204" s="18">
        <v>5625.61</v>
      </c>
      <c r="L204" s="19">
        <f t="shared" si="0"/>
        <v>127305.95000000001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306560.71000000002</v>
      </c>
      <c r="G205" s="18">
        <v>101766.31</v>
      </c>
      <c r="H205" s="18">
        <f>839+18939.2+2472.04</f>
        <v>22250.240000000002</v>
      </c>
      <c r="I205" s="18">
        <v>2224.44</v>
      </c>
      <c r="J205" s="18"/>
      <c r="K205" s="18">
        <v>2205</v>
      </c>
      <c r="L205" s="19">
        <f t="shared" si="0"/>
        <v>435006.7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63154.05</v>
      </c>
      <c r="G206" s="18">
        <v>26516.11</v>
      </c>
      <c r="H206" s="18">
        <f>7918.41+1382.7+1605.42</f>
        <v>10906.53</v>
      </c>
      <c r="I206" s="18">
        <v>891.84</v>
      </c>
      <c r="J206" s="18">
        <v>0</v>
      </c>
      <c r="K206" s="18">
        <v>623.25</v>
      </c>
      <c r="L206" s="19">
        <f t="shared" si="0"/>
        <v>102091.78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169140.29</v>
      </c>
      <c r="G207" s="18">
        <v>67728.27</v>
      </c>
      <c r="H207" s="18">
        <f>4011.46+96104.87+44930.67</f>
        <v>145047</v>
      </c>
      <c r="I207" s="18">
        <v>185131.74</v>
      </c>
      <c r="J207" s="18">
        <v>1506.81</v>
      </c>
      <c r="K207" s="18"/>
      <c r="L207" s="19">
        <f t="shared" si="0"/>
        <v>568554.1100000001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344224.88</v>
      </c>
      <c r="I208" s="18"/>
      <c r="J208" s="18"/>
      <c r="K208" s="18"/>
      <c r="L208" s="19">
        <f t="shared" si="0"/>
        <v>344224.88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4029852.76</v>
      </c>
      <c r="G211" s="41">
        <f t="shared" si="1"/>
        <v>1831069.6900000002</v>
      </c>
      <c r="H211" s="41">
        <f t="shared" si="1"/>
        <v>669667.17999999993</v>
      </c>
      <c r="I211" s="41">
        <f t="shared" si="1"/>
        <v>313482.07999999996</v>
      </c>
      <c r="J211" s="41">
        <f t="shared" si="1"/>
        <v>39387.199999999997</v>
      </c>
      <c r="K211" s="41">
        <f t="shared" si="1"/>
        <v>9748.81</v>
      </c>
      <c r="L211" s="41">
        <f t="shared" si="1"/>
        <v>6893207.7200000007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1846137.01</v>
      </c>
      <c r="G215" s="18">
        <v>835380.32</v>
      </c>
      <c r="H215" s="18">
        <f>836+0</f>
        <v>836</v>
      </c>
      <c r="I215" s="18">
        <v>53403.56</v>
      </c>
      <c r="J215" s="18">
        <v>16708.439999999999</v>
      </c>
      <c r="K215" s="18"/>
      <c r="L215" s="19">
        <f>SUM(F215:K215)</f>
        <v>2752465.33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426387.34</v>
      </c>
      <c r="G216" s="18">
        <v>239826.9</v>
      </c>
      <c r="H216" s="18">
        <f>2352.7+52640.01</f>
        <v>54992.71</v>
      </c>
      <c r="I216" s="18">
        <v>2317.9</v>
      </c>
      <c r="J216" s="18">
        <v>4328</v>
      </c>
      <c r="K216" s="18">
        <v>915</v>
      </c>
      <c r="L216" s="19">
        <f>SUM(F216:K216)</f>
        <v>728767.85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50727.07</v>
      </c>
      <c r="G218" s="18">
        <v>7259.11</v>
      </c>
      <c r="H218" s="18">
        <f>6874.5+600+0</f>
        <v>7474.5</v>
      </c>
      <c r="I218" s="18">
        <v>3947.77</v>
      </c>
      <c r="J218" s="18">
        <v>4690</v>
      </c>
      <c r="K218" s="18">
        <v>3770</v>
      </c>
      <c r="L218" s="19">
        <f>SUM(F218:K218)</f>
        <v>77868.45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330207.13</v>
      </c>
      <c r="G220" s="18">
        <v>149256.69</v>
      </c>
      <c r="H220" s="18">
        <f>19402.51+99+1467.67</f>
        <v>20969.18</v>
      </c>
      <c r="I220" s="18">
        <v>3901.14</v>
      </c>
      <c r="J220" s="18">
        <v>1023.88</v>
      </c>
      <c r="K220" s="18">
        <v>418.36</v>
      </c>
      <c r="L220" s="19">
        <f t="shared" ref="L220:L226" si="2">SUM(F220:K220)</f>
        <v>505776.38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118799.25</v>
      </c>
      <c r="G221" s="18">
        <v>82854.710000000006</v>
      </c>
      <c r="H221" s="18">
        <f>27507.54+2573.19+242.83</f>
        <v>30323.56</v>
      </c>
      <c r="I221" s="18">
        <v>15641.85</v>
      </c>
      <c r="J221" s="18">
        <v>25506.42</v>
      </c>
      <c r="K221" s="18">
        <v>524.83000000000004</v>
      </c>
      <c r="L221" s="19">
        <f t="shared" si="2"/>
        <v>273650.62000000005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50634.99</v>
      </c>
      <c r="G222" s="18">
        <v>14957.38</v>
      </c>
      <c r="H222" s="18">
        <f>14269.51+9359.3</f>
        <v>23628.809999999998</v>
      </c>
      <c r="I222" s="18">
        <v>1976.85</v>
      </c>
      <c r="J222" s="18"/>
      <c r="K222" s="18">
        <v>4216.33</v>
      </c>
      <c r="L222" s="19">
        <f t="shared" si="2"/>
        <v>95414.36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232847.38</v>
      </c>
      <c r="G223" s="18">
        <v>97540.84</v>
      </c>
      <c r="H223" s="18">
        <f>1308+12379.96+4305.23</f>
        <v>17993.189999999999</v>
      </c>
      <c r="I223" s="18">
        <v>2506.3200000000002</v>
      </c>
      <c r="J223" s="18"/>
      <c r="K223" s="18">
        <v>1944</v>
      </c>
      <c r="L223" s="19">
        <f t="shared" si="2"/>
        <v>352831.73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47333.25</v>
      </c>
      <c r="G224" s="18">
        <v>19873.52</v>
      </c>
      <c r="H224" s="18">
        <f>5934.76+1036.32+1203.25</f>
        <v>8174.33</v>
      </c>
      <c r="I224" s="18">
        <v>668.42</v>
      </c>
      <c r="J224" s="18"/>
      <c r="K224" s="18">
        <v>467.12</v>
      </c>
      <c r="L224" s="19">
        <f t="shared" si="2"/>
        <v>76516.639999999999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179989.18</v>
      </c>
      <c r="G225" s="18">
        <v>50761.59</v>
      </c>
      <c r="H225" s="18">
        <f>3006.54+76411.91+31425.99</f>
        <v>110844.44</v>
      </c>
      <c r="I225" s="18">
        <v>138754.16</v>
      </c>
      <c r="J225" s="18">
        <v>1129.3399999999999</v>
      </c>
      <c r="K225" s="18"/>
      <c r="L225" s="19">
        <f t="shared" si="2"/>
        <v>481478.71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243911.89</v>
      </c>
      <c r="I226" s="18"/>
      <c r="J226" s="18"/>
      <c r="K226" s="18"/>
      <c r="L226" s="19">
        <f t="shared" si="2"/>
        <v>243911.89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3283062.6</v>
      </c>
      <c r="G229" s="41">
        <f>SUM(G215:G228)</f>
        <v>1497711.06</v>
      </c>
      <c r="H229" s="41">
        <f>SUM(H215:H228)</f>
        <v>519148.61</v>
      </c>
      <c r="I229" s="41">
        <f>SUM(I215:I228)</f>
        <v>223117.97000000003</v>
      </c>
      <c r="J229" s="41">
        <f>SUM(J215:J228)</f>
        <v>53386.079999999994</v>
      </c>
      <c r="K229" s="41">
        <f t="shared" si="3"/>
        <v>12255.640000000001</v>
      </c>
      <c r="L229" s="41">
        <f t="shared" si="3"/>
        <v>5588681.96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1718663.81</v>
      </c>
      <c r="G233" s="18">
        <v>783980.29</v>
      </c>
      <c r="H233" s="18">
        <f>2590+1794.72+0</f>
        <v>4384.72</v>
      </c>
      <c r="I233" s="18">
        <v>40302.51</v>
      </c>
      <c r="J233" s="18">
        <v>4403.47</v>
      </c>
      <c r="K233" s="18"/>
      <c r="L233" s="19">
        <f>SUM(F233:K233)</f>
        <v>2551734.8000000003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304874.61</v>
      </c>
      <c r="G234" s="18">
        <v>145926.49</v>
      </c>
      <c r="H234" s="18">
        <f>56044.69+323885.88</f>
        <v>379930.57</v>
      </c>
      <c r="I234" s="18">
        <v>185.13</v>
      </c>
      <c r="J234" s="18"/>
      <c r="K234" s="18"/>
      <c r="L234" s="19">
        <f>SUM(F234:K234)</f>
        <v>830916.79999999993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12493.75</v>
      </c>
      <c r="G235" s="18">
        <v>955.77</v>
      </c>
      <c r="H235" s="18">
        <v>179708.2</v>
      </c>
      <c r="I235" s="18"/>
      <c r="J235" s="18"/>
      <c r="K235" s="18"/>
      <c r="L235" s="19">
        <f>SUM(F235:K235)</f>
        <v>193157.72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118768.27</v>
      </c>
      <c r="G236" s="18">
        <v>15493.16</v>
      </c>
      <c r="H236" s="18">
        <f>22666+2325+0</f>
        <v>24991</v>
      </c>
      <c r="I236" s="18">
        <v>13132.5</v>
      </c>
      <c r="J236" s="18"/>
      <c r="K236" s="18">
        <v>15648</v>
      </c>
      <c r="L236" s="19">
        <f>SUM(F236:K236)</f>
        <v>188032.93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349641.6</v>
      </c>
      <c r="G238" s="18">
        <v>138092.16</v>
      </c>
      <c r="H238" s="18">
        <f>46788.99+99+5999.31</f>
        <v>52887.299999999996</v>
      </c>
      <c r="I238" s="18">
        <v>3811.33</v>
      </c>
      <c r="J238" s="18">
        <v>886.84</v>
      </c>
      <c r="K238" s="18">
        <v>645.94000000000005</v>
      </c>
      <c r="L238" s="19">
        <f t="shared" ref="L238:L244" si="4">SUM(F238:K238)</f>
        <v>545965.16999999993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111092.01</v>
      </c>
      <c r="G239" s="18">
        <v>72713.919999999998</v>
      </c>
      <c r="H239" s="18">
        <f>26038.06+2349.52+261.37</f>
        <v>28648.95</v>
      </c>
      <c r="I239" s="18">
        <v>18881.18</v>
      </c>
      <c r="J239" s="18">
        <v>28185.02</v>
      </c>
      <c r="K239" s="18">
        <v>564.91999999999996</v>
      </c>
      <c r="L239" s="19">
        <f t="shared" si="4"/>
        <v>260086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54503.43</v>
      </c>
      <c r="G240" s="18">
        <v>16100.11</v>
      </c>
      <c r="H240" s="18">
        <f>15359.71+10074.31</f>
        <v>25434.019999999997</v>
      </c>
      <c r="I240" s="18">
        <v>2127.87</v>
      </c>
      <c r="J240" s="18"/>
      <c r="K240" s="18">
        <v>4538.46</v>
      </c>
      <c r="L240" s="19">
        <f t="shared" si="4"/>
        <v>102703.89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218569.16</v>
      </c>
      <c r="G241" s="18">
        <v>92765.95</v>
      </c>
      <c r="H241" s="18">
        <f>1840+13118.08+3205.13</f>
        <v>18163.21</v>
      </c>
      <c r="I241" s="18">
        <v>1736.65</v>
      </c>
      <c r="J241" s="18">
        <v>199.98</v>
      </c>
      <c r="K241" s="18">
        <v>12150.09</v>
      </c>
      <c r="L241" s="19">
        <f t="shared" si="4"/>
        <v>343585.04000000004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50949.440000000002</v>
      </c>
      <c r="G242" s="18">
        <v>21391.81</v>
      </c>
      <c r="H242" s="18">
        <f>6388.16+1115.48+1295.17</f>
        <v>8798.81</v>
      </c>
      <c r="I242" s="18">
        <v>719.47</v>
      </c>
      <c r="J242" s="18"/>
      <c r="K242" s="18">
        <v>502.81</v>
      </c>
      <c r="L242" s="19">
        <f t="shared" si="4"/>
        <v>82362.34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137423.04000000001</v>
      </c>
      <c r="G243" s="18">
        <v>54639.7</v>
      </c>
      <c r="H243" s="18">
        <f>3236.23+77532.45+33628.3</f>
        <v>114396.98</v>
      </c>
      <c r="I243" s="18">
        <v>149354.74</v>
      </c>
      <c r="J243" s="18">
        <v>1215.6199999999999</v>
      </c>
      <c r="K243" s="18"/>
      <c r="L243" s="19">
        <f t="shared" si="4"/>
        <v>457030.07999999996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416299.18</v>
      </c>
      <c r="I244" s="18"/>
      <c r="J244" s="18"/>
      <c r="K244" s="18"/>
      <c r="L244" s="19">
        <f t="shared" si="4"/>
        <v>416299.18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3076979.12</v>
      </c>
      <c r="G247" s="41">
        <f t="shared" si="5"/>
        <v>1342059.3600000001</v>
      </c>
      <c r="H247" s="41">
        <f t="shared" si="5"/>
        <v>1253642.94</v>
      </c>
      <c r="I247" s="41">
        <f t="shared" si="5"/>
        <v>230251.37999999998</v>
      </c>
      <c r="J247" s="41">
        <f t="shared" si="5"/>
        <v>34890.930000000008</v>
      </c>
      <c r="K247" s="41">
        <f t="shared" si="5"/>
        <v>34050.22</v>
      </c>
      <c r="L247" s="41">
        <f t="shared" si="5"/>
        <v>5971873.9499999993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>
        <v>5476.17</v>
      </c>
      <c r="G253" s="18">
        <v>3714.78</v>
      </c>
      <c r="H253" s="18"/>
      <c r="I253" s="18">
        <v>1546.49</v>
      </c>
      <c r="J253" s="18"/>
      <c r="K253" s="18"/>
      <c r="L253" s="19">
        <f t="shared" si="6"/>
        <v>10737.44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245434.36</v>
      </c>
      <c r="I255" s="18"/>
      <c r="J255" s="18"/>
      <c r="K255" s="18"/>
      <c r="L255" s="19">
        <f t="shared" si="6"/>
        <v>245434.36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5476.17</v>
      </c>
      <c r="G256" s="41">
        <f t="shared" si="7"/>
        <v>3714.78</v>
      </c>
      <c r="H256" s="41">
        <f t="shared" si="7"/>
        <v>245434.36</v>
      </c>
      <c r="I256" s="41">
        <f t="shared" si="7"/>
        <v>1546.49</v>
      </c>
      <c r="J256" s="41">
        <f t="shared" si="7"/>
        <v>0</v>
      </c>
      <c r="K256" s="41">
        <f t="shared" si="7"/>
        <v>0</v>
      </c>
      <c r="L256" s="41">
        <f>SUM(F256:K256)</f>
        <v>256171.8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10395370.65</v>
      </c>
      <c r="G257" s="41">
        <f t="shared" si="8"/>
        <v>4674554.8900000006</v>
      </c>
      <c r="H257" s="41">
        <f t="shared" si="8"/>
        <v>2687893.09</v>
      </c>
      <c r="I257" s="41">
        <f t="shared" si="8"/>
        <v>768397.92</v>
      </c>
      <c r="J257" s="41">
        <f t="shared" si="8"/>
        <v>127664.21</v>
      </c>
      <c r="K257" s="41">
        <f t="shared" si="8"/>
        <v>56054.67</v>
      </c>
      <c r="L257" s="41">
        <f t="shared" si="8"/>
        <v>18709935.43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33650.39</v>
      </c>
      <c r="L263" s="19">
        <f>SUM(F263:K263)</f>
        <v>33650.39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50000</v>
      </c>
      <c r="L266" s="19">
        <f t="shared" si="9"/>
        <v>50000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83650.39</v>
      </c>
      <c r="L270" s="41">
        <f t="shared" si="9"/>
        <v>83650.39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10395370.65</v>
      </c>
      <c r="G271" s="42">
        <f t="shared" si="11"/>
        <v>4674554.8900000006</v>
      </c>
      <c r="H271" s="42">
        <f t="shared" si="11"/>
        <v>2687893.09</v>
      </c>
      <c r="I271" s="42">
        <f t="shared" si="11"/>
        <v>768397.92</v>
      </c>
      <c r="J271" s="42">
        <f t="shared" si="11"/>
        <v>127664.21</v>
      </c>
      <c r="K271" s="42">
        <f t="shared" si="11"/>
        <v>139705.06</v>
      </c>
      <c r="L271" s="42">
        <f t="shared" si="11"/>
        <v>18793585.82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4107.6000000000004</v>
      </c>
      <c r="G276" s="18">
        <v>895.87</v>
      </c>
      <c r="H276" s="18">
        <v>4872</v>
      </c>
      <c r="I276" s="18"/>
      <c r="J276" s="18"/>
      <c r="K276" s="18"/>
      <c r="L276" s="19">
        <f>SUM(F276:K276)</f>
        <v>9875.4700000000012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143471.51</v>
      </c>
      <c r="G277" s="18">
        <v>58586.3</v>
      </c>
      <c r="H277" s="18">
        <f>9982.86+0</f>
        <v>9982.86</v>
      </c>
      <c r="I277" s="18">
        <v>52533.71</v>
      </c>
      <c r="J277" s="18">
        <v>33220.61</v>
      </c>
      <c r="K277" s="18"/>
      <c r="L277" s="19">
        <f>SUM(F277:K277)</f>
        <v>297794.99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15630</v>
      </c>
      <c r="G279" s="18">
        <v>3090.34</v>
      </c>
      <c r="H279" s="18"/>
      <c r="I279" s="18">
        <v>2076.3200000000002</v>
      </c>
      <c r="J279" s="18"/>
      <c r="K279" s="18"/>
      <c r="L279" s="19">
        <f>SUM(F279:K279)</f>
        <v>20796.66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3598.41</v>
      </c>
      <c r="G282" s="18">
        <v>674.04</v>
      </c>
      <c r="H282" s="18">
        <v>978</v>
      </c>
      <c r="I282" s="18"/>
      <c r="J282" s="18"/>
      <c r="K282" s="18"/>
      <c r="L282" s="19">
        <f t="shared" si="12"/>
        <v>5250.45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7553.9</v>
      </c>
      <c r="I287" s="18"/>
      <c r="J287" s="18"/>
      <c r="K287" s="18"/>
      <c r="L287" s="19">
        <f t="shared" si="12"/>
        <v>7553.9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166807.52000000002</v>
      </c>
      <c r="G290" s="42">
        <f t="shared" si="13"/>
        <v>63246.55000000001</v>
      </c>
      <c r="H290" s="42">
        <f t="shared" si="13"/>
        <v>23386.760000000002</v>
      </c>
      <c r="I290" s="42">
        <f t="shared" si="13"/>
        <v>54610.03</v>
      </c>
      <c r="J290" s="42">
        <f t="shared" si="13"/>
        <v>33220.61</v>
      </c>
      <c r="K290" s="42">
        <f t="shared" si="13"/>
        <v>0</v>
      </c>
      <c r="L290" s="41">
        <f t="shared" si="13"/>
        <v>341271.47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3078.6</v>
      </c>
      <c r="G295" s="18">
        <v>671.44</v>
      </c>
      <c r="H295" s="18">
        <v>728</v>
      </c>
      <c r="I295" s="18"/>
      <c r="J295" s="18"/>
      <c r="K295" s="18"/>
      <c r="L295" s="19">
        <f>SUM(F295:K295)</f>
        <v>4478.04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100185.1</v>
      </c>
      <c r="G296" s="18">
        <v>71648.12</v>
      </c>
      <c r="H296" s="18">
        <f>12618.89+0</f>
        <v>12618.89</v>
      </c>
      <c r="I296" s="18">
        <v>22895.55</v>
      </c>
      <c r="J296" s="18">
        <v>13075.14</v>
      </c>
      <c r="K296" s="18"/>
      <c r="L296" s="19">
        <f>SUM(F296:K296)</f>
        <v>220422.8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v>7500</v>
      </c>
      <c r="G298" s="18">
        <v>1140.1500000000001</v>
      </c>
      <c r="H298" s="18"/>
      <c r="I298" s="18"/>
      <c r="J298" s="18"/>
      <c r="K298" s="18">
        <v>638.44000000000005</v>
      </c>
      <c r="L298" s="19">
        <f>SUM(F298:K298)</f>
        <v>9278.59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3256.97</v>
      </c>
      <c r="G301" s="18">
        <v>625.67999999999995</v>
      </c>
      <c r="H301" s="18">
        <v>1638</v>
      </c>
      <c r="I301" s="18"/>
      <c r="J301" s="18"/>
      <c r="K301" s="18"/>
      <c r="L301" s="19">
        <f t="shared" si="14"/>
        <v>5520.65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>
        <v>5744.38</v>
      </c>
      <c r="I306" s="18"/>
      <c r="J306" s="18"/>
      <c r="K306" s="18"/>
      <c r="L306" s="19">
        <f t="shared" si="14"/>
        <v>5744.38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114020.67000000001</v>
      </c>
      <c r="G309" s="42">
        <f t="shared" si="15"/>
        <v>74085.389999999985</v>
      </c>
      <c r="H309" s="42">
        <f t="shared" si="15"/>
        <v>20729.27</v>
      </c>
      <c r="I309" s="42">
        <f t="shared" si="15"/>
        <v>22895.55</v>
      </c>
      <c r="J309" s="42">
        <f t="shared" si="15"/>
        <v>13075.14</v>
      </c>
      <c r="K309" s="42">
        <f t="shared" si="15"/>
        <v>638.44000000000005</v>
      </c>
      <c r="L309" s="41">
        <f t="shared" si="15"/>
        <v>245444.46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3313.8</v>
      </c>
      <c r="G314" s="18">
        <v>722.74</v>
      </c>
      <c r="H314" s="18"/>
      <c r="I314" s="18"/>
      <c r="J314" s="18"/>
      <c r="K314" s="18"/>
      <c r="L314" s="19">
        <f>SUM(F314:K314)</f>
        <v>4036.54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38450</v>
      </c>
      <c r="G315" s="18">
        <v>19908.560000000001</v>
      </c>
      <c r="H315" s="18">
        <f>8053.66+1149.81</f>
        <v>9203.4699999999993</v>
      </c>
      <c r="I315" s="18">
        <v>18161.41</v>
      </c>
      <c r="J315" s="18">
        <v>12584.23</v>
      </c>
      <c r="K315" s="18"/>
      <c r="L315" s="19">
        <f>SUM(F315:K315)</f>
        <v>98307.67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11309.93</v>
      </c>
      <c r="G317" s="18">
        <v>1839.07</v>
      </c>
      <c r="H317" s="18">
        <f>14137.6+506</f>
        <v>14643.6</v>
      </c>
      <c r="I317" s="18"/>
      <c r="J317" s="18"/>
      <c r="K317" s="18">
        <v>3710.96</v>
      </c>
      <c r="L317" s="19">
        <f>SUM(F317:K317)</f>
        <v>31503.559999999998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2903.02</v>
      </c>
      <c r="G320" s="18">
        <v>543.78</v>
      </c>
      <c r="H320" s="18">
        <v>789</v>
      </c>
      <c r="I320" s="18"/>
      <c r="J320" s="18"/>
      <c r="K320" s="18"/>
      <c r="L320" s="19">
        <f t="shared" si="16"/>
        <v>4235.8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>
        <v>6341.38</v>
      </c>
      <c r="I325" s="18"/>
      <c r="J325" s="18"/>
      <c r="K325" s="18"/>
      <c r="L325" s="19">
        <f t="shared" si="16"/>
        <v>6341.38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55976.75</v>
      </c>
      <c r="G328" s="42">
        <f t="shared" si="17"/>
        <v>23014.15</v>
      </c>
      <c r="H328" s="42">
        <f t="shared" si="17"/>
        <v>30977.45</v>
      </c>
      <c r="I328" s="42">
        <f t="shared" si="17"/>
        <v>18161.41</v>
      </c>
      <c r="J328" s="42">
        <f t="shared" si="17"/>
        <v>12584.23</v>
      </c>
      <c r="K328" s="42">
        <f t="shared" si="17"/>
        <v>3710.96</v>
      </c>
      <c r="L328" s="41">
        <f t="shared" si="17"/>
        <v>144424.94999999998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>
        <v>1245.92</v>
      </c>
      <c r="L335" s="19">
        <f t="shared" si="18"/>
        <v>1245.92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1245.92</v>
      </c>
      <c r="L337" s="41">
        <f t="shared" si="18"/>
        <v>1245.92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336804.94000000006</v>
      </c>
      <c r="G338" s="41">
        <f t="shared" si="20"/>
        <v>160346.09</v>
      </c>
      <c r="H338" s="41">
        <f t="shared" si="20"/>
        <v>75093.48</v>
      </c>
      <c r="I338" s="41">
        <f t="shared" si="20"/>
        <v>95666.99</v>
      </c>
      <c r="J338" s="41">
        <f t="shared" si="20"/>
        <v>58879.979999999996</v>
      </c>
      <c r="K338" s="41">
        <f t="shared" si="20"/>
        <v>5595.32</v>
      </c>
      <c r="L338" s="41">
        <f t="shared" si="20"/>
        <v>732386.79999999993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336804.94000000006</v>
      </c>
      <c r="G352" s="41">
        <f>G338</f>
        <v>160346.09</v>
      </c>
      <c r="H352" s="41">
        <f>H338</f>
        <v>75093.48</v>
      </c>
      <c r="I352" s="41">
        <f>I338</f>
        <v>95666.99</v>
      </c>
      <c r="J352" s="41">
        <f>J338</f>
        <v>58879.979999999996</v>
      </c>
      <c r="K352" s="47">
        <f>K338+K351</f>
        <v>5595.32</v>
      </c>
      <c r="L352" s="41">
        <f>L338+L351</f>
        <v>732386.79999999993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81001.23</v>
      </c>
      <c r="G358" s="18">
        <v>44174.81</v>
      </c>
      <c r="H358" s="18">
        <f>1140.74+3833.88+1575.63</f>
        <v>6550.25</v>
      </c>
      <c r="I358" s="18">
        <v>79705.11</v>
      </c>
      <c r="J358" s="18">
        <f>2311+0</f>
        <v>2311</v>
      </c>
      <c r="K358" s="18"/>
      <c r="L358" s="13">
        <f>SUM(F358:K358)</f>
        <v>213742.39999999997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47613</v>
      </c>
      <c r="G359" s="18">
        <v>25350.41</v>
      </c>
      <c r="H359" s="18">
        <f>854.97+390.75+1977.13</f>
        <v>3222.8500000000004</v>
      </c>
      <c r="I359" s="18">
        <v>81723.02</v>
      </c>
      <c r="J359" s="18">
        <v>5721.07</v>
      </c>
      <c r="K359" s="18"/>
      <c r="L359" s="19">
        <f>SUM(F359:K359)</f>
        <v>163630.35000000003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51970.58</v>
      </c>
      <c r="G360" s="18">
        <v>29288.959999999999</v>
      </c>
      <c r="H360" s="18">
        <f>920.29+1339.75+1919.15</f>
        <v>4179.1900000000005</v>
      </c>
      <c r="I360" s="18">
        <v>72552.5</v>
      </c>
      <c r="J360" s="18">
        <v>16584.5</v>
      </c>
      <c r="K360" s="18"/>
      <c r="L360" s="19">
        <f>SUM(F360:K360)</f>
        <v>174575.73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180584.81</v>
      </c>
      <c r="G362" s="47">
        <f t="shared" si="22"/>
        <v>98814.18</v>
      </c>
      <c r="H362" s="47">
        <f t="shared" si="22"/>
        <v>13952.29</v>
      </c>
      <c r="I362" s="47">
        <f t="shared" si="22"/>
        <v>233980.63</v>
      </c>
      <c r="J362" s="47">
        <f t="shared" si="22"/>
        <v>24616.57</v>
      </c>
      <c r="K362" s="47">
        <f t="shared" si="22"/>
        <v>0</v>
      </c>
      <c r="L362" s="47">
        <f t="shared" si="22"/>
        <v>551948.48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69626.09</v>
      </c>
      <c r="G367" s="18">
        <v>75654.570000000007</v>
      </c>
      <c r="H367" s="18">
        <v>63595.79</v>
      </c>
      <c r="I367" s="56">
        <f>SUM(F367:H367)</f>
        <v>208876.45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10079.02</v>
      </c>
      <c r="G368" s="63">
        <v>6068.45</v>
      </c>
      <c r="H368" s="63">
        <v>8956.7099999999991</v>
      </c>
      <c r="I368" s="56">
        <f>SUM(F368:H368)</f>
        <v>25104.18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79705.11</v>
      </c>
      <c r="G369" s="47">
        <f>SUM(G367:G368)</f>
        <v>81723.02</v>
      </c>
      <c r="H369" s="47">
        <f>SUM(H367:H368)</f>
        <v>72552.5</v>
      </c>
      <c r="I369" s="47">
        <f>SUM(I367:I368)</f>
        <v>233980.63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>
        <v>6.37</v>
      </c>
      <c r="I387" s="18"/>
      <c r="J387" s="24" t="s">
        <v>289</v>
      </c>
      <c r="K387" s="24" t="s">
        <v>289</v>
      </c>
      <c r="L387" s="56">
        <f t="shared" ref="L387:L392" si="25">SUM(F387:K387)</f>
        <v>6.37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6.37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6.37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50000</v>
      </c>
      <c r="H396" s="18">
        <v>18.48</v>
      </c>
      <c r="I396" s="18"/>
      <c r="J396" s="24" t="s">
        <v>289</v>
      </c>
      <c r="K396" s="24" t="s">
        <v>289</v>
      </c>
      <c r="L396" s="56">
        <f t="shared" si="26"/>
        <v>50018.48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53.11</v>
      </c>
      <c r="I397" s="18"/>
      <c r="J397" s="24" t="s">
        <v>289</v>
      </c>
      <c r="K397" s="24" t="s">
        <v>289</v>
      </c>
      <c r="L397" s="56">
        <f t="shared" si="26"/>
        <v>53.11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>
        <v>19.16</v>
      </c>
      <c r="I399" s="18"/>
      <c r="J399" s="24" t="s">
        <v>289</v>
      </c>
      <c r="K399" s="24" t="s">
        <v>289</v>
      </c>
      <c r="L399" s="56">
        <f t="shared" si="26"/>
        <v>19.16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f>0.28+25.53+11.67</f>
        <v>37.480000000000004</v>
      </c>
      <c r="I400" s="18"/>
      <c r="J400" s="24" t="s">
        <v>289</v>
      </c>
      <c r="K400" s="24" t="s">
        <v>289</v>
      </c>
      <c r="L400" s="56">
        <f t="shared" si="26"/>
        <v>37.480000000000004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50000</v>
      </c>
      <c r="H401" s="47">
        <f>SUM(H395:H400)</f>
        <v>128.23000000000002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50128.23000000001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50000</v>
      </c>
      <c r="H408" s="47">
        <f>H393+H401+H407</f>
        <v>134.60000000000002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50134.600000000013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>
        <v>5900</v>
      </c>
      <c r="L422" s="56">
        <f t="shared" si="29"/>
        <v>5900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>
        <v>18595</v>
      </c>
      <c r="L425" s="56">
        <f t="shared" si="29"/>
        <v>18595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24495</v>
      </c>
      <c r="L427" s="47">
        <f t="shared" si="30"/>
        <v>24495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24495</v>
      </c>
      <c r="L434" s="47">
        <f t="shared" si="32"/>
        <v>24495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25039.25</v>
      </c>
      <c r="G440" s="18">
        <v>520423.38</v>
      </c>
      <c r="H440" s="18"/>
      <c r="I440" s="56">
        <f t="shared" si="33"/>
        <v>545462.63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25039.25</v>
      </c>
      <c r="G446" s="13">
        <f>SUM(G439:G445)</f>
        <v>520423.38</v>
      </c>
      <c r="H446" s="13">
        <f>SUM(H439:H445)</f>
        <v>0</v>
      </c>
      <c r="I446" s="13">
        <f>SUM(I439:I445)</f>
        <v>545462.63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25039.25</v>
      </c>
      <c r="G459" s="18">
        <v>520423.38</v>
      </c>
      <c r="H459" s="18"/>
      <c r="I459" s="56">
        <f t="shared" si="34"/>
        <v>545462.63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25039.25</v>
      </c>
      <c r="G460" s="83">
        <f>SUM(G454:G459)</f>
        <v>520423.38</v>
      </c>
      <c r="H460" s="83">
        <f>SUM(H454:H459)</f>
        <v>0</v>
      </c>
      <c r="I460" s="83">
        <f>SUM(I454:I459)</f>
        <v>545462.63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25039.25</v>
      </c>
      <c r="G461" s="42">
        <f>G452+G460</f>
        <v>520423.38</v>
      </c>
      <c r="H461" s="42">
        <f>H452+H460</f>
        <v>0</v>
      </c>
      <c r="I461" s="42">
        <f>I452+I460</f>
        <v>545462.63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813017.9</v>
      </c>
      <c r="G465" s="18">
        <v>7727</v>
      </c>
      <c r="H465" s="18">
        <v>0</v>
      </c>
      <c r="I465" s="18"/>
      <c r="J465" s="18">
        <v>519823.03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19243606.5</v>
      </c>
      <c r="G468" s="18">
        <v>544221.48</v>
      </c>
      <c r="H468" s="18">
        <v>732386.8</v>
      </c>
      <c r="I468" s="18"/>
      <c r="J468" s="18">
        <v>50134.6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19243606.5</v>
      </c>
      <c r="G470" s="53">
        <f>SUM(G468:G469)</f>
        <v>544221.48</v>
      </c>
      <c r="H470" s="53">
        <f>SUM(H468:H469)</f>
        <v>732386.8</v>
      </c>
      <c r="I470" s="53">
        <f>SUM(I468:I469)</f>
        <v>0</v>
      </c>
      <c r="J470" s="53">
        <f>SUM(J468:J469)</f>
        <v>50134.6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18793585.82</v>
      </c>
      <c r="G472" s="18">
        <v>551948.48</v>
      </c>
      <c r="H472" s="18">
        <v>732386.8</v>
      </c>
      <c r="I472" s="18"/>
      <c r="J472" s="18">
        <v>24495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18793585.82</v>
      </c>
      <c r="G474" s="53">
        <f>SUM(G472:G473)</f>
        <v>551948.48</v>
      </c>
      <c r="H474" s="53">
        <f>SUM(H472:H473)</f>
        <v>732386.8</v>
      </c>
      <c r="I474" s="53">
        <f>SUM(I472:I473)</f>
        <v>0</v>
      </c>
      <c r="J474" s="53">
        <f>SUM(J472:J473)</f>
        <v>24495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1263038.5799999982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545462.63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473551.01+34152.02+39190</f>
        <v>546893.03</v>
      </c>
      <c r="G521" s="18">
        <f>236754.76+2110.04+23491.89</f>
        <v>262356.69</v>
      </c>
      <c r="H521" s="18">
        <f>422.28+9982.86</f>
        <v>10405.140000000001</v>
      </c>
      <c r="I521" s="18">
        <f>135.87+21446.43</f>
        <v>21582.3</v>
      </c>
      <c r="J521" s="18">
        <f>2940.69+18362.71</f>
        <v>21303.399999999998</v>
      </c>
      <c r="K521" s="18"/>
      <c r="L521" s="88">
        <f>SUM(F521:K521)</f>
        <v>862540.56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321386.4+10013.37+9159.2</f>
        <v>340558.97000000003</v>
      </c>
      <c r="G522" s="18">
        <f>204872.39+1581.45+7351.73</f>
        <v>213805.57000000004</v>
      </c>
      <c r="H522" s="18">
        <f>52634.38+7482.04</f>
        <v>60116.42</v>
      </c>
      <c r="I522" s="18">
        <f>101.83+16073.85</f>
        <v>16175.68</v>
      </c>
      <c r="J522" s="18">
        <v>11691.06</v>
      </c>
      <c r="K522" s="18"/>
      <c r="L522" s="88">
        <f>SUM(F522:K522)</f>
        <v>642347.70000000019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292088.7+10778.38+38450</f>
        <v>341317.08</v>
      </c>
      <c r="G523" s="18">
        <f>141613.79+1702.27+19908.56</f>
        <v>163224.62</v>
      </c>
      <c r="H523" s="18">
        <f>323750.25+8858.47</f>
        <v>332608.71999999997</v>
      </c>
      <c r="I523" s="18">
        <f>75.52+109.61+18092.41</f>
        <v>18277.54</v>
      </c>
      <c r="J523" s="18">
        <v>12584.23</v>
      </c>
      <c r="K523" s="18"/>
      <c r="L523" s="88">
        <f>SUM(F523:K523)</f>
        <v>868012.19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1228769.08</v>
      </c>
      <c r="G524" s="108">
        <f t="shared" ref="G524:L524" si="36">SUM(G521:G523)</f>
        <v>639386.88</v>
      </c>
      <c r="H524" s="108">
        <f t="shared" si="36"/>
        <v>403130.27999999997</v>
      </c>
      <c r="I524" s="108">
        <f t="shared" si="36"/>
        <v>56035.519999999997</v>
      </c>
      <c r="J524" s="108">
        <f t="shared" si="36"/>
        <v>45578.69</v>
      </c>
      <c r="K524" s="108">
        <f t="shared" si="36"/>
        <v>0</v>
      </c>
      <c r="L524" s="89">
        <f t="shared" si="36"/>
        <v>2372900.4500000002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171812.11</v>
      </c>
      <c r="G526" s="18">
        <v>60090.48</v>
      </c>
      <c r="H526" s="18">
        <v>55130.16</v>
      </c>
      <c r="I526" s="18">
        <v>13.78</v>
      </c>
      <c r="J526" s="18"/>
      <c r="K526" s="18"/>
      <c r="L526" s="88">
        <f>SUM(F526:K526)</f>
        <v>287046.53000000003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94794.97</v>
      </c>
      <c r="G527" s="18">
        <v>37697.46</v>
      </c>
      <c r="H527" s="18">
        <v>10762.5</v>
      </c>
      <c r="I527" s="18">
        <v>10.33</v>
      </c>
      <c r="J527" s="18"/>
      <c r="K527" s="18"/>
      <c r="L527" s="88">
        <f>SUM(F527:K527)</f>
        <v>143265.25999999998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102037.12</v>
      </c>
      <c r="G528" s="18">
        <v>40633.839999999997</v>
      </c>
      <c r="H528" s="18">
        <v>37488.879999999997</v>
      </c>
      <c r="I528" s="18">
        <v>11.11</v>
      </c>
      <c r="J528" s="18"/>
      <c r="K528" s="18"/>
      <c r="L528" s="88">
        <f>SUM(F528:K528)</f>
        <v>180170.94999999998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368644.19999999995</v>
      </c>
      <c r="G529" s="89">
        <f t="shared" ref="G529:L529" si="37">SUM(G526:G528)</f>
        <v>138421.78</v>
      </c>
      <c r="H529" s="89">
        <f t="shared" si="37"/>
        <v>103381.54000000001</v>
      </c>
      <c r="I529" s="89">
        <f t="shared" si="37"/>
        <v>35.22</v>
      </c>
      <c r="J529" s="89">
        <f t="shared" si="37"/>
        <v>0</v>
      </c>
      <c r="K529" s="89">
        <f t="shared" si="37"/>
        <v>0</v>
      </c>
      <c r="L529" s="89">
        <f t="shared" si="37"/>
        <v>610482.74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37856.17</v>
      </c>
      <c r="G531" s="18">
        <v>20571.05</v>
      </c>
      <c r="H531" s="18">
        <v>11163.46</v>
      </c>
      <c r="I531" s="18">
        <v>701.24</v>
      </c>
      <c r="J531" s="18">
        <v>1099.27</v>
      </c>
      <c r="K531" s="18">
        <v>324.7</v>
      </c>
      <c r="L531" s="88">
        <f>SUM(F531:K531)</f>
        <v>71715.89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28372.78</v>
      </c>
      <c r="G532" s="18">
        <v>15417.77</v>
      </c>
      <c r="H532" s="18">
        <v>8366.89</v>
      </c>
      <c r="I532" s="18">
        <v>525.57000000000005</v>
      </c>
      <c r="J532" s="18">
        <v>823.89</v>
      </c>
      <c r="K532" s="18">
        <v>243.36</v>
      </c>
      <c r="L532" s="88">
        <f>SUM(F532:K532)</f>
        <v>53750.26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30540.41</v>
      </c>
      <c r="G533" s="18">
        <v>16595.68</v>
      </c>
      <c r="H533" s="18">
        <v>9006.1</v>
      </c>
      <c r="I533" s="18">
        <v>565.74</v>
      </c>
      <c r="J533" s="18">
        <v>886.84</v>
      </c>
      <c r="K533" s="18">
        <v>261.94</v>
      </c>
      <c r="L533" s="88">
        <f>SUM(F533:K533)</f>
        <v>57856.709999999992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96769.36</v>
      </c>
      <c r="G534" s="89">
        <f t="shared" ref="G534:L534" si="38">SUM(G531:G533)</f>
        <v>52584.5</v>
      </c>
      <c r="H534" s="89">
        <f t="shared" si="38"/>
        <v>28536.449999999997</v>
      </c>
      <c r="I534" s="89">
        <f t="shared" si="38"/>
        <v>1792.55</v>
      </c>
      <c r="J534" s="89">
        <f t="shared" si="38"/>
        <v>2810</v>
      </c>
      <c r="K534" s="89">
        <f t="shared" si="38"/>
        <v>830</v>
      </c>
      <c r="L534" s="89">
        <f t="shared" si="38"/>
        <v>183322.86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50631.5</v>
      </c>
      <c r="I541" s="18"/>
      <c r="J541" s="18"/>
      <c r="K541" s="18"/>
      <c r="L541" s="88">
        <f>SUM(F541:K541)</f>
        <v>50631.5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37205.06</v>
      </c>
      <c r="I542" s="18"/>
      <c r="J542" s="18"/>
      <c r="K542" s="18"/>
      <c r="L542" s="88">
        <f>SUM(F542:K542)</f>
        <v>37205.06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96404.9</v>
      </c>
      <c r="I543" s="18"/>
      <c r="J543" s="18"/>
      <c r="K543" s="18"/>
      <c r="L543" s="88">
        <f>SUM(F543:K543)</f>
        <v>96404.9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184241.46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184241.46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1694182.6400000001</v>
      </c>
      <c r="G545" s="89">
        <f t="shared" ref="G545:L545" si="41">G524+G529+G534+G539+G544</f>
        <v>830393.16</v>
      </c>
      <c r="H545" s="89">
        <f t="shared" si="41"/>
        <v>719289.72999999986</v>
      </c>
      <c r="I545" s="89">
        <f t="shared" si="41"/>
        <v>57863.29</v>
      </c>
      <c r="J545" s="89">
        <f t="shared" si="41"/>
        <v>48388.69</v>
      </c>
      <c r="K545" s="89">
        <f t="shared" si="41"/>
        <v>830</v>
      </c>
      <c r="L545" s="89">
        <f t="shared" si="41"/>
        <v>3350947.5100000002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862540.56</v>
      </c>
      <c r="G549" s="87">
        <f>L526</f>
        <v>287046.53000000003</v>
      </c>
      <c r="H549" s="87">
        <f>L531</f>
        <v>71715.89</v>
      </c>
      <c r="I549" s="87">
        <f>L536</f>
        <v>0</v>
      </c>
      <c r="J549" s="87">
        <f>L541</f>
        <v>50631.5</v>
      </c>
      <c r="K549" s="87">
        <f>SUM(F549:J549)</f>
        <v>1271934.48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642347.70000000019</v>
      </c>
      <c r="G550" s="87">
        <f>L527</f>
        <v>143265.25999999998</v>
      </c>
      <c r="H550" s="87">
        <f>L532</f>
        <v>53750.26</v>
      </c>
      <c r="I550" s="87">
        <f>L537</f>
        <v>0</v>
      </c>
      <c r="J550" s="87">
        <f>L542</f>
        <v>37205.06</v>
      </c>
      <c r="K550" s="87">
        <f>SUM(F550:J550)</f>
        <v>876568.28000000026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868012.19</v>
      </c>
      <c r="G551" s="87">
        <f>L528</f>
        <v>180170.94999999998</v>
      </c>
      <c r="H551" s="87">
        <f>L533</f>
        <v>57856.709999999992</v>
      </c>
      <c r="I551" s="87">
        <f>L538</f>
        <v>0</v>
      </c>
      <c r="J551" s="87">
        <f>L543</f>
        <v>96404.9</v>
      </c>
      <c r="K551" s="87">
        <f>SUM(F551:J551)</f>
        <v>1202444.7499999998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2372900.4500000002</v>
      </c>
      <c r="G552" s="89">
        <f t="shared" si="42"/>
        <v>610482.74</v>
      </c>
      <c r="H552" s="89">
        <f t="shared" si="42"/>
        <v>183322.86</v>
      </c>
      <c r="I552" s="89">
        <f t="shared" si="42"/>
        <v>0</v>
      </c>
      <c r="J552" s="89">
        <f t="shared" si="42"/>
        <v>184241.46</v>
      </c>
      <c r="K552" s="89">
        <f t="shared" si="42"/>
        <v>3350947.51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8151.81</v>
      </c>
      <c r="G562" s="18">
        <v>10599.9</v>
      </c>
      <c r="H562" s="18">
        <v>1016.48</v>
      </c>
      <c r="I562" s="18"/>
      <c r="J562" s="18"/>
      <c r="K562" s="18"/>
      <c r="L562" s="88">
        <f>SUM(F562:K562)</f>
        <v>19768.189999999999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2007.54</v>
      </c>
      <c r="G563" s="18">
        <v>2610.42</v>
      </c>
      <c r="H563" s="18">
        <v>250.33</v>
      </c>
      <c r="I563" s="18"/>
      <c r="J563" s="18"/>
      <c r="K563" s="18"/>
      <c r="L563" s="88">
        <f>SUM(F563:K563)</f>
        <v>4868.29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2007.53</v>
      </c>
      <c r="G564" s="18">
        <v>2610.4299999999998</v>
      </c>
      <c r="H564" s="18">
        <v>250.32</v>
      </c>
      <c r="I564" s="18"/>
      <c r="J564" s="18"/>
      <c r="K564" s="18"/>
      <c r="L564" s="88">
        <f>SUM(F564:K564)</f>
        <v>4868.28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12166.880000000001</v>
      </c>
      <c r="G565" s="89">
        <f t="shared" si="44"/>
        <v>15820.75</v>
      </c>
      <c r="H565" s="89">
        <f t="shared" si="44"/>
        <v>1517.1299999999999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29504.76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v>38913.599999999999</v>
      </c>
      <c r="G567" s="18">
        <v>8314.18</v>
      </c>
      <c r="H567" s="18"/>
      <c r="I567" s="18">
        <v>325.45999999999998</v>
      </c>
      <c r="J567" s="18"/>
      <c r="K567" s="18"/>
      <c r="L567" s="88">
        <f>SUM(F567:K567)</f>
        <v>47553.24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>
        <v>31740.03</v>
      </c>
      <c r="G568" s="18">
        <v>13878.15</v>
      </c>
      <c r="H568" s="18">
        <f>2108+5136.85</f>
        <v>7244.85</v>
      </c>
      <c r="I568" s="18">
        <v>2216.0700000000002</v>
      </c>
      <c r="J568" s="18">
        <v>4328</v>
      </c>
      <c r="K568" s="18">
        <v>915</v>
      </c>
      <c r="L568" s="88">
        <f>SUM(F568:K568)</f>
        <v>60322.1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70653.63</v>
      </c>
      <c r="G570" s="193">
        <f t="shared" ref="G570:L570" si="45">SUM(G567:G569)</f>
        <v>22192.33</v>
      </c>
      <c r="H570" s="193">
        <f t="shared" si="45"/>
        <v>7244.85</v>
      </c>
      <c r="I570" s="193">
        <f t="shared" si="45"/>
        <v>2541.5300000000002</v>
      </c>
      <c r="J570" s="193">
        <f t="shared" si="45"/>
        <v>4328</v>
      </c>
      <c r="K570" s="193">
        <f t="shared" si="45"/>
        <v>915</v>
      </c>
      <c r="L570" s="193">
        <f t="shared" si="45"/>
        <v>107875.34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82820.510000000009</v>
      </c>
      <c r="G571" s="89">
        <f t="shared" ref="G571:L571" si="46">G560+G565+G570</f>
        <v>38013.08</v>
      </c>
      <c r="H571" s="89">
        <f t="shared" si="46"/>
        <v>8761.98</v>
      </c>
      <c r="I571" s="89">
        <f t="shared" si="46"/>
        <v>2541.5300000000002</v>
      </c>
      <c r="J571" s="89">
        <f t="shared" si="46"/>
        <v>4328</v>
      </c>
      <c r="K571" s="89">
        <f t="shared" si="46"/>
        <v>915</v>
      </c>
      <c r="L571" s="89">
        <f t="shared" si="46"/>
        <v>137380.1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>
        <v>52634.38</v>
      </c>
      <c r="H578" s="18">
        <v>345</v>
      </c>
      <c r="I578" s="87">
        <f t="shared" si="47"/>
        <v>52979.38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>
        <v>25881.61</v>
      </c>
      <c r="I580" s="87">
        <f t="shared" si="47"/>
        <v>25881.61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>
        <v>297672.64</v>
      </c>
      <c r="I582" s="87">
        <f t="shared" si="47"/>
        <v>297672.64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179708.2</v>
      </c>
      <c r="I584" s="87">
        <f t="shared" si="47"/>
        <v>179708.2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288299.38</v>
      </c>
      <c r="I591" s="18">
        <v>188065.46</v>
      </c>
      <c r="J591" s="18">
        <v>209547.76</v>
      </c>
      <c r="K591" s="104">
        <f t="shared" ref="K591:K597" si="48">SUM(H591:J591)</f>
        <v>685912.6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50631.5</v>
      </c>
      <c r="I592" s="18">
        <v>37205.06</v>
      </c>
      <c r="J592" s="18">
        <v>96404.9</v>
      </c>
      <c r="K592" s="104">
        <f t="shared" si="48"/>
        <v>184241.46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65786.399999999994</v>
      </c>
      <c r="K593" s="104">
        <f t="shared" si="48"/>
        <v>65786.399999999994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12737.44</v>
      </c>
      <c r="J594" s="18">
        <v>20775.71</v>
      </c>
      <c r="K594" s="104">
        <f t="shared" si="48"/>
        <v>33513.15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5294</v>
      </c>
      <c r="I595" s="18">
        <v>5903.93</v>
      </c>
      <c r="J595" s="18">
        <v>14352.41</v>
      </c>
      <c r="K595" s="104">
        <f t="shared" si="48"/>
        <v>25550.34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>
        <v>9432</v>
      </c>
      <c r="K597" s="104">
        <f t="shared" si="48"/>
        <v>9432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344224.88</v>
      </c>
      <c r="I598" s="108">
        <f>SUM(I591:I597)</f>
        <v>243911.88999999998</v>
      </c>
      <c r="J598" s="108">
        <f>SUM(J591:J597)</f>
        <v>416299.18000000005</v>
      </c>
      <c r="K598" s="108">
        <f>SUM(K591:K597)</f>
        <v>1004435.95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39387.2+33220.61</f>
        <v>72607.81</v>
      </c>
      <c r="I604" s="18">
        <f>53386.08+13075.14</f>
        <v>66461.22</v>
      </c>
      <c r="J604" s="18">
        <f>34890.93+12584.23</f>
        <v>47475.16</v>
      </c>
      <c r="K604" s="104">
        <f>SUM(H604:J604)</f>
        <v>186544.19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72607.81</v>
      </c>
      <c r="I605" s="108">
        <f>SUM(I602:I604)</f>
        <v>66461.22</v>
      </c>
      <c r="J605" s="108">
        <f>SUM(J602:J604)</f>
        <v>47475.16</v>
      </c>
      <c r="K605" s="108">
        <f>SUM(K602:K604)</f>
        <v>186544.19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15630</v>
      </c>
      <c r="G611" s="18">
        <v>3090.34</v>
      </c>
      <c r="H611" s="18">
        <v>2076.3200000000002</v>
      </c>
      <c r="I611" s="18"/>
      <c r="J611" s="18"/>
      <c r="K611" s="18"/>
      <c r="L611" s="88">
        <f>SUM(F611:K611)</f>
        <v>20796.66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7500</v>
      </c>
      <c r="G612" s="18">
        <v>1140.1500000000001</v>
      </c>
      <c r="H612" s="18"/>
      <c r="I612" s="18"/>
      <c r="J612" s="18"/>
      <c r="K612" s="18"/>
      <c r="L612" s="88">
        <f>SUM(F612:K612)</f>
        <v>8640.15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f>11309.93-4156.25</f>
        <v>7153.68</v>
      </c>
      <c r="G613" s="18">
        <v>1521.11</v>
      </c>
      <c r="H613" s="18"/>
      <c r="I613" s="18"/>
      <c r="J613" s="18"/>
      <c r="K613" s="18"/>
      <c r="L613" s="88">
        <f>SUM(F613:K613)</f>
        <v>8674.7900000000009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30283.68</v>
      </c>
      <c r="G614" s="108">
        <f t="shared" si="49"/>
        <v>5751.5999999999995</v>
      </c>
      <c r="H614" s="108">
        <f t="shared" si="49"/>
        <v>2076.3200000000002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38111.599999999999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1409802.1300000001</v>
      </c>
      <c r="H617" s="109">
        <f>SUM(F52)</f>
        <v>1409802.1300000001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160158.48000000001</v>
      </c>
      <c r="H618" s="109">
        <f>SUM(G52)</f>
        <v>160158.48000000001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237927.2</v>
      </c>
      <c r="H619" s="109">
        <f>SUM(H52)</f>
        <v>237927.2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545462.63</v>
      </c>
      <c r="H621" s="109">
        <f>SUM(J52)</f>
        <v>545462.63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1263038.58</v>
      </c>
      <c r="H622" s="109">
        <f>F476</f>
        <v>1263038.5799999982</v>
      </c>
      <c r="I622" s="121" t="s">
        <v>101</v>
      </c>
      <c r="J622" s="109">
        <f t="shared" ref="J622:J655" si="50">G622-H622</f>
        <v>1.862645149230957E-9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545462.63</v>
      </c>
      <c r="H626" s="109">
        <f>J476</f>
        <v>545462.63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19243606.500000004</v>
      </c>
      <c r="H627" s="104">
        <f>SUM(F468)</f>
        <v>19243606.5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544221.48</v>
      </c>
      <c r="H628" s="104">
        <f>SUM(G468)</f>
        <v>544221.48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732386.8</v>
      </c>
      <c r="H629" s="104">
        <f>SUM(H468)</f>
        <v>732386.8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50134.6</v>
      </c>
      <c r="H631" s="104">
        <f>SUM(J468)</f>
        <v>50134.6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18793585.82</v>
      </c>
      <c r="H632" s="104">
        <f>SUM(F472)</f>
        <v>18793585.82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732386.79999999993</v>
      </c>
      <c r="H633" s="104">
        <f>SUM(H472)</f>
        <v>732386.8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233980.63</v>
      </c>
      <c r="H634" s="104">
        <f>I369</f>
        <v>233980.63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551948.48</v>
      </c>
      <c r="H635" s="104">
        <f>SUM(G472)</f>
        <v>551948.48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50134.600000000013</v>
      </c>
      <c r="H637" s="164">
        <f>SUM(J468)</f>
        <v>50134.6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24495</v>
      </c>
      <c r="H638" s="164">
        <f>SUM(J472)</f>
        <v>24495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25039.25</v>
      </c>
      <c r="H639" s="104">
        <f>SUM(F461)</f>
        <v>25039.25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520423.38</v>
      </c>
      <c r="H640" s="104">
        <f>SUM(G461)</f>
        <v>520423.38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545462.63</v>
      </c>
      <c r="H642" s="104">
        <f>SUM(I461)</f>
        <v>545462.63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134.6</v>
      </c>
      <c r="H644" s="104">
        <f>H408</f>
        <v>134.60000000000002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50000</v>
      </c>
      <c r="H645" s="104">
        <f>G408</f>
        <v>50000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50134.6</v>
      </c>
      <c r="H646" s="104">
        <f>L408</f>
        <v>50134.600000000013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1004435.95</v>
      </c>
      <c r="H647" s="104">
        <f>L208+L226+L244</f>
        <v>1004435.95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186544.19</v>
      </c>
      <c r="H648" s="104">
        <f>(J257+J338)-(J255+J336)</f>
        <v>186544.19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344224.88</v>
      </c>
      <c r="H649" s="104">
        <f>H598</f>
        <v>344224.88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243911.89</v>
      </c>
      <c r="H650" s="104">
        <f>I598</f>
        <v>243911.88999999998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416299.18</v>
      </c>
      <c r="H651" s="104">
        <f>J598</f>
        <v>416299.18000000005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33650.39</v>
      </c>
      <c r="H652" s="104">
        <f>K263+K345</f>
        <v>33650.39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50000</v>
      </c>
      <c r="H655" s="104">
        <f>K266+K347</f>
        <v>50000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7448221.5900000008</v>
      </c>
      <c r="G660" s="19">
        <f>(L229+L309+L359)</f>
        <v>5997756.7699999996</v>
      </c>
      <c r="H660" s="19">
        <f>(L247+L328+L360)</f>
        <v>6290874.6299999999</v>
      </c>
      <c r="I660" s="19">
        <f>SUM(F660:H660)</f>
        <v>19736852.989999998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88296.274026503335</v>
      </c>
      <c r="G661" s="19">
        <f>(L359/IF(SUM(L358:L360)=0,1,SUM(L358:L360))*(SUM(G97:G110)))</f>
        <v>67595.152962877997</v>
      </c>
      <c r="H661" s="19">
        <f>(L360/IF(SUM(L358:L360)=0,1,SUM(L358:L360))*(SUM(G97:G110)))</f>
        <v>72116.653010618669</v>
      </c>
      <c r="I661" s="19">
        <f>SUM(F661:H661)</f>
        <v>228008.08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351778.78</v>
      </c>
      <c r="G662" s="19">
        <f>(L226+L306)-(J226+J306)</f>
        <v>249656.27000000002</v>
      </c>
      <c r="H662" s="19">
        <f>(L244+L325)-(J244+J325)</f>
        <v>422640.56</v>
      </c>
      <c r="I662" s="19">
        <f>SUM(F662:H662)</f>
        <v>1024075.6100000001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93404.47</v>
      </c>
      <c r="G663" s="199">
        <f>SUM(G575:G587)+SUM(I602:I604)+L612</f>
        <v>127735.75</v>
      </c>
      <c r="H663" s="199">
        <f>SUM(H575:H587)+SUM(J602:J604)+L613</f>
        <v>559757.4</v>
      </c>
      <c r="I663" s="19">
        <f>SUM(F663:H663)</f>
        <v>780897.62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6914742.0659734979</v>
      </c>
      <c r="G664" s="19">
        <f>G660-SUM(G661:G663)</f>
        <v>5552769.5970371217</v>
      </c>
      <c r="H664" s="19">
        <f>H660-SUM(H661:H663)</f>
        <v>5236360.0169893811</v>
      </c>
      <c r="I664" s="19">
        <f>I660-SUM(I661:I663)</f>
        <v>17703871.68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496.5</v>
      </c>
      <c r="G665" s="248">
        <v>372.08</v>
      </c>
      <c r="H665" s="248">
        <v>400.52</v>
      </c>
      <c r="I665" s="19">
        <f>SUM(F665:H665)</f>
        <v>1269.0999999999999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13926.97</v>
      </c>
      <c r="G667" s="19">
        <f>ROUND(G664/G665,2)</f>
        <v>14923.59</v>
      </c>
      <c r="H667" s="19">
        <f>ROUND(H664/H665,2)</f>
        <v>13073.9</v>
      </c>
      <c r="I667" s="19">
        <f>ROUND(I664/I665,2)</f>
        <v>13949.94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-15.66</v>
      </c>
      <c r="I670" s="19">
        <f>SUM(F670:H670)</f>
        <v>-15.66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13926.97</v>
      </c>
      <c r="G672" s="19">
        <f>ROUND((G664+G669)/(G665+G670),2)</f>
        <v>14923.59</v>
      </c>
      <c r="H672" s="19">
        <f>ROUND((H664+H669)/(H665+H670),2)</f>
        <v>13605.88</v>
      </c>
      <c r="I672" s="19">
        <f>ROUND((I664+I669)/(I665+I670),2)</f>
        <v>14124.23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Shaker Regional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5646238.0299999984</v>
      </c>
      <c r="C9" s="229">
        <f>'DOE25'!G197+'DOE25'!G215+'DOE25'!G233+'DOE25'!G276+'DOE25'!G295+'DOE25'!G314</f>
        <v>2563860.1300000004</v>
      </c>
    </row>
    <row r="10" spans="1:3" x14ac:dyDescent="0.2">
      <c r="A10" t="s">
        <v>779</v>
      </c>
      <c r="B10" s="240">
        <f>5171214.41+10500</f>
        <v>5181714.41</v>
      </c>
      <c r="C10" s="240">
        <f>2309848.84+2290.05</f>
        <v>2312138.8899999997</v>
      </c>
    </row>
    <row r="11" spans="1:3" x14ac:dyDescent="0.2">
      <c r="A11" t="s">
        <v>780</v>
      </c>
      <c r="B11" s="240">
        <v>314204.34999999998</v>
      </c>
      <c r="C11" s="240">
        <v>240276.76</v>
      </c>
    </row>
    <row r="12" spans="1:3" x14ac:dyDescent="0.2">
      <c r="A12" t="s">
        <v>781</v>
      </c>
      <c r="B12" s="240">
        <v>150319.26999999999</v>
      </c>
      <c r="C12" s="240">
        <v>11444.48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5646238.0299999993</v>
      </c>
      <c r="C13" s="231">
        <f>SUM(C10:C12)</f>
        <v>2563860.1299999994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1683564.7500000002</v>
      </c>
      <c r="C18" s="229">
        <f>'DOE25'!G198+'DOE25'!G216+'DOE25'!G234+'DOE25'!G277+'DOE25'!G296+'DOE25'!G315</f>
        <v>857998.84000000008</v>
      </c>
    </row>
    <row r="19" spans="1:3" x14ac:dyDescent="0.2">
      <c r="A19" t="s">
        <v>779</v>
      </c>
      <c r="B19" s="240">
        <f>989159.53+165822.89</f>
        <v>1154982.42</v>
      </c>
      <c r="C19" s="240">
        <f>444524.5+88967.12</f>
        <v>533491.62</v>
      </c>
    </row>
    <row r="20" spans="1:3" x14ac:dyDescent="0.2">
      <c r="A20" t="s">
        <v>780</v>
      </c>
      <c r="B20" s="240">
        <f>412298.61+116283.72</f>
        <v>528582.32999999996</v>
      </c>
      <c r="C20" s="240">
        <f>263331.36+61175.86</f>
        <v>324507.21999999997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1683564.75</v>
      </c>
      <c r="C22" s="231">
        <f>SUM(C19:C21)</f>
        <v>857998.84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12493.75</v>
      </c>
      <c r="C27" s="234">
        <f>'DOE25'!G199+'DOE25'!G217+'DOE25'!G235+'DOE25'!G278+'DOE25'!G297+'DOE25'!G316</f>
        <v>955.77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>
        <v>12493.75</v>
      </c>
      <c r="C29" s="240">
        <v>955.77</v>
      </c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12493.75</v>
      </c>
      <c r="C31" s="231">
        <f>SUM(C28:C30)</f>
        <v>955.77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232199.86</v>
      </c>
      <c r="C36" s="235">
        <f>'DOE25'!G200+'DOE25'!G218+'DOE25'!G236+'DOE25'!G279+'DOE25'!G298+'DOE25'!G317</f>
        <v>34061.5</v>
      </c>
    </row>
    <row r="37" spans="1:3" x14ac:dyDescent="0.2">
      <c r="A37" t="s">
        <v>779</v>
      </c>
      <c r="B37" s="240">
        <f>112466.07+21630</f>
        <v>134096.07</v>
      </c>
      <c r="C37" s="240">
        <f>21351.6+4965.23</f>
        <v>26316.829999999998</v>
      </c>
    </row>
    <row r="38" spans="1:3" x14ac:dyDescent="0.2">
      <c r="A38" t="s">
        <v>780</v>
      </c>
      <c r="B38" s="240">
        <v>8653.68</v>
      </c>
      <c r="C38" s="240">
        <v>786.37</v>
      </c>
    </row>
    <row r="39" spans="1:3" x14ac:dyDescent="0.2">
      <c r="A39" t="s">
        <v>781</v>
      </c>
      <c r="B39" s="240">
        <f>85293.86+4156.25</f>
        <v>89450.11</v>
      </c>
      <c r="C39" s="240">
        <f>6640.34+317.96</f>
        <v>6958.3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232199.86</v>
      </c>
      <c r="C40" s="231">
        <f>SUM(C37:C39)</f>
        <v>34061.5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A36" sqref="A36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Shaker Regional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11481182.720000001</v>
      </c>
      <c r="D5" s="20">
        <f>SUM('DOE25'!L197:L200)+SUM('DOE25'!L215:L218)+SUM('DOE25'!L233:L236)-F5-G5</f>
        <v>11425949.24</v>
      </c>
      <c r="E5" s="243"/>
      <c r="F5" s="255">
        <f>SUM('DOE25'!J197:J200)+SUM('DOE25'!J215:J218)+SUM('DOE25'!J233:J236)</f>
        <v>34900.479999999996</v>
      </c>
      <c r="G5" s="53">
        <f>SUM('DOE25'!K197:K200)+SUM('DOE25'!K215:K218)+SUM('DOE25'!K233:K236)</f>
        <v>20333</v>
      </c>
      <c r="H5" s="259"/>
    </row>
    <row r="6" spans="1:9" x14ac:dyDescent="0.2">
      <c r="A6" s="32">
        <v>2100</v>
      </c>
      <c r="B6" t="s">
        <v>801</v>
      </c>
      <c r="C6" s="245">
        <f t="shared" si="0"/>
        <v>1822834.2999999998</v>
      </c>
      <c r="D6" s="20">
        <f>'DOE25'!L202+'DOE25'!L220+'DOE25'!L238-F6-G6</f>
        <v>1818165.3099999998</v>
      </c>
      <c r="E6" s="243"/>
      <c r="F6" s="255">
        <f>'DOE25'!J202+'DOE25'!J220+'DOE25'!J238</f>
        <v>3009.9900000000002</v>
      </c>
      <c r="G6" s="53">
        <f>'DOE25'!K202+'DOE25'!K220+'DOE25'!K238</f>
        <v>1659</v>
      </c>
      <c r="H6" s="259"/>
    </row>
    <row r="7" spans="1:9" x14ac:dyDescent="0.2">
      <c r="A7" s="32">
        <v>2200</v>
      </c>
      <c r="B7" t="s">
        <v>834</v>
      </c>
      <c r="C7" s="245">
        <f t="shared" si="0"/>
        <v>920429.33000000007</v>
      </c>
      <c r="D7" s="20">
        <f>'DOE25'!L203+'DOE25'!L221+'DOE25'!L239-F7-G7</f>
        <v>832937.34000000008</v>
      </c>
      <c r="E7" s="243"/>
      <c r="F7" s="255">
        <f>'DOE25'!J203+'DOE25'!J221+'DOE25'!J239</f>
        <v>85701.99</v>
      </c>
      <c r="G7" s="53">
        <f>'DOE25'!K203+'DOE25'!K221+'DOE25'!K239</f>
        <v>1790</v>
      </c>
      <c r="H7" s="259"/>
    </row>
    <row r="8" spans="1:9" x14ac:dyDescent="0.2">
      <c r="A8" s="32">
        <v>2300</v>
      </c>
      <c r="B8" t="s">
        <v>802</v>
      </c>
      <c r="C8" s="245">
        <f t="shared" si="0"/>
        <v>75195.19</v>
      </c>
      <c r="D8" s="243"/>
      <c r="E8" s="20">
        <f>'DOE25'!L204+'DOE25'!L222+'DOE25'!L240-F8-G8-D9-D11</f>
        <v>60814.790000000008</v>
      </c>
      <c r="F8" s="255">
        <f>'DOE25'!J204+'DOE25'!J222+'DOE25'!J240</f>
        <v>0</v>
      </c>
      <c r="G8" s="53">
        <f>'DOE25'!K204+'DOE25'!K222+'DOE25'!K240</f>
        <v>14380.399999999998</v>
      </c>
      <c r="H8" s="259"/>
    </row>
    <row r="9" spans="1:9" x14ac:dyDescent="0.2">
      <c r="A9" s="32">
        <v>2310</v>
      </c>
      <c r="B9" t="s">
        <v>818</v>
      </c>
      <c r="C9" s="245">
        <f t="shared" si="0"/>
        <v>30575.8</v>
      </c>
      <c r="D9" s="244">
        <v>30575.8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24845</v>
      </c>
      <c r="D10" s="243"/>
      <c r="E10" s="244">
        <v>24845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219653.21</v>
      </c>
      <c r="D11" s="244">
        <v>219653.21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1131423.47</v>
      </c>
      <c r="D12" s="20">
        <f>'DOE25'!L205+'DOE25'!L223+'DOE25'!L241-F12-G12</f>
        <v>1114924.3999999999</v>
      </c>
      <c r="E12" s="243"/>
      <c r="F12" s="255">
        <f>'DOE25'!J205+'DOE25'!J223+'DOE25'!J241</f>
        <v>199.98</v>
      </c>
      <c r="G12" s="53">
        <f>'DOE25'!K205+'DOE25'!K223+'DOE25'!K241</f>
        <v>16299.09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260970.75999999998</v>
      </c>
      <c r="D13" s="243"/>
      <c r="E13" s="20">
        <f>'DOE25'!L206+'DOE25'!L224+'DOE25'!L242-F13-G13</f>
        <v>259377.58</v>
      </c>
      <c r="F13" s="255">
        <f>'DOE25'!J206+'DOE25'!J224+'DOE25'!J242</f>
        <v>0</v>
      </c>
      <c r="G13" s="53">
        <f>'DOE25'!K206+'DOE25'!K224+'DOE25'!K242</f>
        <v>1593.1799999999998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1507062.9</v>
      </c>
      <c r="D14" s="20">
        <f>'DOE25'!L207+'DOE25'!L225+'DOE25'!L243-F14-G14</f>
        <v>1503211.13</v>
      </c>
      <c r="E14" s="243"/>
      <c r="F14" s="255">
        <f>'DOE25'!J207+'DOE25'!J225+'DOE25'!J243</f>
        <v>3851.7699999999995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1004435.95</v>
      </c>
      <c r="D15" s="20">
        <f>'DOE25'!L208+'DOE25'!L226+'DOE25'!L244-F15-G15</f>
        <v>1004435.95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10737.44</v>
      </c>
      <c r="D19" s="20">
        <f>'DOE25'!L253-F19-G19</f>
        <v>10737.44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245434.36</v>
      </c>
      <c r="D22" s="243"/>
      <c r="E22" s="243"/>
      <c r="F22" s="255">
        <f>'DOE25'!L255+'DOE25'!L336</f>
        <v>245434.36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343072.02999999997</v>
      </c>
      <c r="D29" s="20">
        <f>'DOE25'!L358+'DOE25'!L359+'DOE25'!L360-'DOE25'!I367-F29-G29</f>
        <v>318455.45999999996</v>
      </c>
      <c r="E29" s="243"/>
      <c r="F29" s="255">
        <f>'DOE25'!J358+'DOE25'!J359+'DOE25'!J360</f>
        <v>24616.57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732386.79999999993</v>
      </c>
      <c r="D31" s="20">
        <f>'DOE25'!L290+'DOE25'!L309+'DOE25'!L328+'DOE25'!L333+'DOE25'!L334+'DOE25'!L335-F31-G31</f>
        <v>667911.5</v>
      </c>
      <c r="E31" s="243"/>
      <c r="F31" s="255">
        <f>'DOE25'!J290+'DOE25'!J309+'DOE25'!J328+'DOE25'!J333+'DOE25'!J334+'DOE25'!J335</f>
        <v>58879.979999999996</v>
      </c>
      <c r="G31" s="53">
        <f>'DOE25'!K290+'DOE25'!K309+'DOE25'!K328+'DOE25'!K333+'DOE25'!K334+'DOE25'!K335</f>
        <v>5595.32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18946956.780000005</v>
      </c>
      <c r="E33" s="246">
        <f>SUM(E5:E31)</f>
        <v>345037.37</v>
      </c>
      <c r="F33" s="246">
        <f>SUM(F5:F31)</f>
        <v>456595.11999999994</v>
      </c>
      <c r="G33" s="246">
        <f>SUM(G5:G31)</f>
        <v>61649.989999999991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345037.37</v>
      </c>
      <c r="E35" s="249"/>
    </row>
    <row r="36" spans="2:8" ht="12" thickTop="1" x14ac:dyDescent="0.2">
      <c r="B36" t="s">
        <v>815</v>
      </c>
      <c r="D36" s="20">
        <f>D33</f>
        <v>18946956.780000005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Shaker Regional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1034463.1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2495.16</v>
      </c>
      <c r="D9" s="95">
        <f>'DOE25'!G10</f>
        <v>125550.47</v>
      </c>
      <c r="E9" s="95">
        <f>'DOE25'!H10</f>
        <v>0</v>
      </c>
      <c r="F9" s="95">
        <f>'DOE25'!I10</f>
        <v>0</v>
      </c>
      <c r="G9" s="95">
        <f>'DOE25'!J10</f>
        <v>545462.63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325906.40000000002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36893.050000000003</v>
      </c>
      <c r="D12" s="95">
        <f>'DOE25'!G13</f>
        <v>30828.87</v>
      </c>
      <c r="E12" s="95">
        <f>'DOE25'!H13</f>
        <v>233843.04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10044.42</v>
      </c>
      <c r="D13" s="95">
        <f>'DOE25'!G14</f>
        <v>3779.14</v>
      </c>
      <c r="E13" s="95">
        <f>'DOE25'!H14</f>
        <v>4084.16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1409802.1300000001</v>
      </c>
      <c r="D18" s="41">
        <f>SUM(D8:D17)</f>
        <v>160158.48000000001</v>
      </c>
      <c r="E18" s="41">
        <f>SUM(E8:E17)</f>
        <v>237927.2</v>
      </c>
      <c r="F18" s="41">
        <f>SUM(F8:F17)</f>
        <v>0</v>
      </c>
      <c r="G18" s="41">
        <f>SUM(G8:G17)</f>
        <v>545462.63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147083.15</v>
      </c>
      <c r="E21" s="95">
        <f>'DOE25'!H22</f>
        <v>205267.66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21870.98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49125.17</v>
      </c>
      <c r="D23" s="95">
        <f>'DOE25'!G24</f>
        <v>405.87</v>
      </c>
      <c r="E23" s="95">
        <f>'DOE25'!H24</f>
        <v>711.58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75767.399999999994</v>
      </c>
      <c r="D27" s="95">
        <f>'DOE25'!G28</f>
        <v>4431.7299999999996</v>
      </c>
      <c r="E27" s="95">
        <f>'DOE25'!H28</f>
        <v>3832.39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8237.73</v>
      </c>
      <c r="E29" s="95">
        <f>'DOE25'!H30</f>
        <v>28115.57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146763.54999999999</v>
      </c>
      <c r="D31" s="41">
        <f>SUM(D21:D30)</f>
        <v>160158.48000000001</v>
      </c>
      <c r="E31" s="41">
        <f>SUM(E21:E30)</f>
        <v>237927.2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28535.59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337724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450773.28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545462.63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396005.71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1263038.58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545462.63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1409802.1300000001</v>
      </c>
      <c r="D51" s="41">
        <f>D50+D31</f>
        <v>160158.48000000001</v>
      </c>
      <c r="E51" s="41">
        <f>E50+E31</f>
        <v>237927.2</v>
      </c>
      <c r="F51" s="41">
        <f>F50+F31</f>
        <v>0</v>
      </c>
      <c r="G51" s="41">
        <f>G50+G31</f>
        <v>545462.63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11987387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6136.16</v>
      </c>
      <c r="D57" s="24" t="s">
        <v>289</v>
      </c>
      <c r="E57" s="95">
        <f>'DOE25'!H79</f>
        <v>40828.800000000003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258.08999999999997</v>
      </c>
      <c r="D59" s="95">
        <f>'DOE25'!G96</f>
        <v>35.69</v>
      </c>
      <c r="E59" s="95">
        <f>'DOE25'!H96</f>
        <v>0</v>
      </c>
      <c r="F59" s="95">
        <f>'DOE25'!I96</f>
        <v>0</v>
      </c>
      <c r="G59" s="95">
        <f>'DOE25'!J96</f>
        <v>134.6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227053.12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16853.8</v>
      </c>
      <c r="D61" s="95">
        <f>SUM('DOE25'!G98:G110)</f>
        <v>954.96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23248.05</v>
      </c>
      <c r="D62" s="130">
        <f>SUM(D57:D61)</f>
        <v>228043.77</v>
      </c>
      <c r="E62" s="130">
        <f>SUM(E57:E61)</f>
        <v>40828.800000000003</v>
      </c>
      <c r="F62" s="130">
        <f>SUM(F57:F61)</f>
        <v>0</v>
      </c>
      <c r="G62" s="130">
        <f>SUM(G57:G61)</f>
        <v>134.6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12010635.050000001</v>
      </c>
      <c r="D63" s="22">
        <f>D56+D62</f>
        <v>228043.77</v>
      </c>
      <c r="E63" s="22">
        <f>E56+E62</f>
        <v>40828.800000000003</v>
      </c>
      <c r="F63" s="22">
        <f>F56+F62</f>
        <v>0</v>
      </c>
      <c r="G63" s="22">
        <f>G56+G62</f>
        <v>134.6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4782036.54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2104171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6886207.54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21918.880000000001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79484.009999999995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14257.6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7742.8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115660.49</v>
      </c>
      <c r="D78" s="130">
        <f>SUM(D72:D77)</f>
        <v>7742.8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7001868.0300000003</v>
      </c>
      <c r="D81" s="130">
        <f>SUM(D79:D80)+D78+D70</f>
        <v>7742.8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212508.42</v>
      </c>
      <c r="D88" s="95">
        <f>SUM('DOE25'!G153:G161)</f>
        <v>274784.52</v>
      </c>
      <c r="E88" s="95">
        <f>SUM('DOE25'!H153:H161)</f>
        <v>691558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212508.42</v>
      </c>
      <c r="D91" s="131">
        <f>SUM(D85:D90)</f>
        <v>274784.52</v>
      </c>
      <c r="E91" s="131">
        <f>SUM(E85:E90)</f>
        <v>691558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33650.39</v>
      </c>
      <c r="E96" s="95">
        <f>'DOE25'!H179</f>
        <v>0</v>
      </c>
      <c r="F96" s="95">
        <f>'DOE25'!I179</f>
        <v>0</v>
      </c>
      <c r="G96" s="95">
        <f>'DOE25'!J179</f>
        <v>50000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18595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18595</v>
      </c>
      <c r="D103" s="86">
        <f>SUM(D93:D102)</f>
        <v>33650.39</v>
      </c>
      <c r="E103" s="86">
        <f>SUM(E93:E102)</f>
        <v>0</v>
      </c>
      <c r="F103" s="86">
        <f>SUM(F93:F102)</f>
        <v>0</v>
      </c>
      <c r="G103" s="86">
        <f>SUM(G93:G102)</f>
        <v>50000</v>
      </c>
    </row>
    <row r="104" spans="1:7" ht="12.75" thickTop="1" thickBot="1" x14ac:dyDescent="0.25">
      <c r="A104" s="33" t="s">
        <v>765</v>
      </c>
      <c r="C104" s="86">
        <f>C63+C81+C91+C103</f>
        <v>19243606.500000004</v>
      </c>
      <c r="D104" s="86">
        <f>D63+D81+D91+D103</f>
        <v>544221.48</v>
      </c>
      <c r="E104" s="86">
        <f>E63+E81+E91+E103</f>
        <v>732386.8</v>
      </c>
      <c r="F104" s="86">
        <f>F63+F81+F91+F103</f>
        <v>0</v>
      </c>
      <c r="G104" s="86">
        <f>G63+G81+G103</f>
        <v>50134.6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8424741.4399999995</v>
      </c>
      <c r="D109" s="24" t="s">
        <v>289</v>
      </c>
      <c r="E109" s="95">
        <f>('DOE25'!L276)+('DOE25'!L295)+('DOE25'!L314)</f>
        <v>18390.050000000003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2558725.2499999995</v>
      </c>
      <c r="D110" s="24" t="s">
        <v>289</v>
      </c>
      <c r="E110" s="95">
        <f>('DOE25'!L277)+('DOE25'!L296)+('DOE25'!L315)</f>
        <v>616525.46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193157.72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304558.31</v>
      </c>
      <c r="D112" s="24" t="s">
        <v>289</v>
      </c>
      <c r="E112" s="95">
        <f>+('DOE25'!L279)+('DOE25'!L298)+('DOE25'!L317)</f>
        <v>61578.81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10737.44</v>
      </c>
      <c r="D114" s="24" t="s">
        <v>289</v>
      </c>
      <c r="E114" s="95">
        <f>+ SUM('DOE25'!L333:L335)</f>
        <v>1245.92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11491920.16</v>
      </c>
      <c r="D115" s="86">
        <f>SUM(D109:D114)</f>
        <v>0</v>
      </c>
      <c r="E115" s="86">
        <f>SUM(E109:E114)</f>
        <v>697740.24000000011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1822834.2999999998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920429.33000000007</v>
      </c>
      <c r="D119" s="24" t="s">
        <v>289</v>
      </c>
      <c r="E119" s="95">
        <f>+('DOE25'!L282)+('DOE25'!L301)+('DOE25'!L320)</f>
        <v>15006.899999999998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325424.2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1131423.47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260970.75999999998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1507062.9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1004435.95</v>
      </c>
      <c r="D124" s="24" t="s">
        <v>289</v>
      </c>
      <c r="E124" s="95">
        <f>+('DOE25'!L287)+('DOE25'!L306)+('DOE25'!L325)</f>
        <v>19639.66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551948.48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6972580.9099999992</v>
      </c>
      <c r="D128" s="86">
        <f>SUM(D118:D127)</f>
        <v>551948.48</v>
      </c>
      <c r="E128" s="86">
        <f>SUM(E118:E127)</f>
        <v>34646.559999999998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245434.36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24495</v>
      </c>
    </row>
    <row r="135" spans="1:7" x14ac:dyDescent="0.2">
      <c r="A135" t="s">
        <v>233</v>
      </c>
      <c r="B135" s="32" t="s">
        <v>234</v>
      </c>
      <c r="C135" s="95">
        <f>'DOE25'!L263</f>
        <v>33650.39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6.37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50128.23000000001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-134.6000000000131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329084.74999999994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24495</v>
      </c>
    </row>
    <row r="145" spans="1:9" ht="12.75" thickTop="1" thickBot="1" x14ac:dyDescent="0.25">
      <c r="A145" s="33" t="s">
        <v>244</v>
      </c>
      <c r="C145" s="86">
        <f>(C115+C128+C144)</f>
        <v>18793585.82</v>
      </c>
      <c r="D145" s="86">
        <f>(D115+D128+D144)</f>
        <v>551948.48</v>
      </c>
      <c r="E145" s="86">
        <f>(E115+E128+E144)</f>
        <v>732386.8</v>
      </c>
      <c r="F145" s="86">
        <f>(F115+F128+F144)</f>
        <v>0</v>
      </c>
      <c r="G145" s="86">
        <f>(G115+G128+G144)</f>
        <v>24495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4"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Shaker Regional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13927</v>
      </c>
    </row>
    <row r="5" spans="1:4" x14ac:dyDescent="0.2">
      <c r="B5" t="s">
        <v>704</v>
      </c>
      <c r="C5" s="179">
        <f>IF('DOE25'!G665+'DOE25'!G670=0,0,ROUND('DOE25'!G672,0))</f>
        <v>14924</v>
      </c>
    </row>
    <row r="6" spans="1:4" x14ac:dyDescent="0.2">
      <c r="B6" t="s">
        <v>62</v>
      </c>
      <c r="C6" s="179">
        <f>IF('DOE25'!H665+'DOE25'!H670=0,0,ROUND('DOE25'!H672,0))</f>
        <v>13606</v>
      </c>
    </row>
    <row r="7" spans="1:4" x14ac:dyDescent="0.2">
      <c r="B7" t="s">
        <v>705</v>
      </c>
      <c r="C7" s="179">
        <f>IF('DOE25'!I665+'DOE25'!I670=0,0,ROUND('DOE25'!I672,0))</f>
        <v>14124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8443131</v>
      </c>
      <c r="D10" s="182">
        <f>ROUND((C10/$C$28)*100,1)</f>
        <v>43.3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3175251</v>
      </c>
      <c r="D11" s="182">
        <f>ROUND((C11/$C$28)*100,1)</f>
        <v>16.3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193158</v>
      </c>
      <c r="D12" s="182">
        <f>ROUND((C12/$C$28)*100,1)</f>
        <v>1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366137</v>
      </c>
      <c r="D13" s="182">
        <f>ROUND((C13/$C$28)*100,1)</f>
        <v>1.9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1822834</v>
      </c>
      <c r="D15" s="182">
        <f t="shared" ref="D15:D27" si="0">ROUND((C15/$C$28)*100,1)</f>
        <v>9.3000000000000007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935436</v>
      </c>
      <c r="D16" s="182">
        <f t="shared" si="0"/>
        <v>4.8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325424</v>
      </c>
      <c r="D17" s="182">
        <f t="shared" si="0"/>
        <v>1.7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1131423</v>
      </c>
      <c r="D18" s="182">
        <f t="shared" si="0"/>
        <v>5.8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260971</v>
      </c>
      <c r="D19" s="182">
        <f t="shared" si="0"/>
        <v>1.3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1507063</v>
      </c>
      <c r="D20" s="182">
        <f t="shared" si="0"/>
        <v>7.7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1024076</v>
      </c>
      <c r="D21" s="182">
        <f t="shared" si="0"/>
        <v>5.2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11983</v>
      </c>
      <c r="D24" s="182">
        <f t="shared" si="0"/>
        <v>0.1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323939.92000000004</v>
      </c>
      <c r="D27" s="182">
        <f t="shared" si="0"/>
        <v>1.7</v>
      </c>
    </row>
    <row r="28" spans="1:4" x14ac:dyDescent="0.2">
      <c r="B28" s="187" t="s">
        <v>723</v>
      </c>
      <c r="C28" s="180">
        <f>SUM(C10:C27)</f>
        <v>19520826.920000002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245434</v>
      </c>
    </row>
    <row r="30" spans="1:4" x14ac:dyDescent="0.2">
      <c r="B30" s="187" t="s">
        <v>729</v>
      </c>
      <c r="C30" s="180">
        <f>SUM(C28:C29)</f>
        <v>19766260.920000002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11987387</v>
      </c>
      <c r="D35" s="182">
        <f t="shared" ref="D35:D40" si="1">ROUND((C35/$C$41)*100,1)</f>
        <v>59.2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64247.140000000596</v>
      </c>
      <c r="D36" s="182">
        <f t="shared" si="1"/>
        <v>0.3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6886208</v>
      </c>
      <c r="D37" s="182">
        <f t="shared" si="1"/>
        <v>34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123403</v>
      </c>
      <c r="D38" s="182">
        <f t="shared" si="1"/>
        <v>0.6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1178851</v>
      </c>
      <c r="D39" s="182">
        <f t="shared" si="1"/>
        <v>5.8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20240096.140000001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Shaker Regional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2014-09-05T17:02:25Z</cp:lastPrinted>
  <dcterms:created xsi:type="dcterms:W3CDTF">1997-12-04T19:04:30Z</dcterms:created>
  <dcterms:modified xsi:type="dcterms:W3CDTF">2014-12-05T17:38:50Z</dcterms:modified>
</cp:coreProperties>
</file>