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41" i="1" l="1"/>
  <c r="I12" i="1"/>
  <c r="F57" i="1" l="1"/>
  <c r="G48" i="1"/>
  <c r="G97" i="1"/>
  <c r="B37" i="12"/>
  <c r="C37" i="12"/>
  <c r="C28" i="12"/>
  <c r="B28" i="12"/>
  <c r="C19" i="12"/>
  <c r="B19" i="12"/>
  <c r="C10" i="12"/>
  <c r="B10" i="12"/>
  <c r="H155" i="1" l="1"/>
  <c r="H154" i="1"/>
  <c r="H156" i="1"/>
  <c r="H48" i="1"/>
  <c r="I426" i="1" l="1"/>
  <c r="H426" i="1"/>
  <c r="G426" i="1"/>
  <c r="F426" i="1"/>
  <c r="I400" i="1"/>
  <c r="H459" i="1"/>
  <c r="J498" i="1" l="1"/>
  <c r="I498" i="1"/>
  <c r="H498" i="1"/>
  <c r="G498" i="1"/>
  <c r="F498" i="1"/>
  <c r="H368" i="1"/>
  <c r="G368" i="1"/>
  <c r="F368" i="1"/>
  <c r="F665" i="1" l="1"/>
  <c r="D9" i="13"/>
  <c r="C21" i="12" l="1"/>
  <c r="C20" i="12"/>
  <c r="C12" i="12"/>
  <c r="C11" i="12"/>
  <c r="B21" i="12"/>
  <c r="B20" i="12"/>
  <c r="B12" i="12"/>
  <c r="B11" i="12"/>
  <c r="C45" i="2" l="1"/>
  <c r="G51" i="1"/>
  <c r="F51" i="1"/>
  <c r="C37" i="10" l="1"/>
  <c r="G6" i="13" l="1"/>
  <c r="L205" i="1"/>
  <c r="G8" i="13"/>
  <c r="B18" i="12"/>
  <c r="L209" i="1"/>
  <c r="C9" i="12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L222" i="1"/>
  <c r="L240" i="1"/>
  <c r="D39" i="13"/>
  <c r="F13" i="13"/>
  <c r="G13" i="13"/>
  <c r="L206" i="1"/>
  <c r="L224" i="1"/>
  <c r="L242" i="1"/>
  <c r="F16" i="13"/>
  <c r="G16" i="13"/>
  <c r="L227" i="1"/>
  <c r="L245" i="1"/>
  <c r="F5" i="13"/>
  <c r="G5" i="13"/>
  <c r="L199" i="1"/>
  <c r="L200" i="1"/>
  <c r="L215" i="1"/>
  <c r="L216" i="1"/>
  <c r="L217" i="1"/>
  <c r="L218" i="1"/>
  <c r="L233" i="1"/>
  <c r="L234" i="1"/>
  <c r="L235" i="1"/>
  <c r="L236" i="1"/>
  <c r="F6" i="13"/>
  <c r="L220" i="1"/>
  <c r="L238" i="1"/>
  <c r="F7" i="13"/>
  <c r="G7" i="13"/>
  <c r="L221" i="1"/>
  <c r="L239" i="1"/>
  <c r="F12" i="13"/>
  <c r="G12" i="13"/>
  <c r="L223" i="1"/>
  <c r="L241" i="1"/>
  <c r="F14" i="13"/>
  <c r="G14" i="13"/>
  <c r="L225" i="1"/>
  <c r="L243" i="1"/>
  <c r="F15" i="13"/>
  <c r="G15" i="13"/>
  <c r="L226" i="1"/>
  <c r="G650" i="1" s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C56" i="2" s="1"/>
  <c r="G60" i="1"/>
  <c r="H60" i="1"/>
  <c r="I60" i="1"/>
  <c r="F56" i="2" s="1"/>
  <c r="F79" i="1"/>
  <c r="C57" i="2" s="1"/>
  <c r="F94" i="1"/>
  <c r="C58" i="2" s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I169" i="1" s="1"/>
  <c r="L250" i="1"/>
  <c r="C113" i="2" s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C114" i="2"/>
  <c r="E114" i="2"/>
  <c r="D115" i="2"/>
  <c r="F115" i="2"/>
  <c r="G115" i="2"/>
  <c r="E118" i="2"/>
  <c r="E120" i="2"/>
  <c r="E121" i="2"/>
  <c r="E123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J211" i="1"/>
  <c r="H604" i="1" s="1"/>
  <c r="H605" i="1" s="1"/>
  <c r="F229" i="1"/>
  <c r="G229" i="1"/>
  <c r="H229" i="1"/>
  <c r="I229" i="1"/>
  <c r="J229" i="1"/>
  <c r="I604" i="1" s="1"/>
  <c r="I605" i="1" s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F614" i="1"/>
  <c r="G614" i="1"/>
  <c r="H614" i="1"/>
  <c r="I614" i="1"/>
  <c r="J614" i="1"/>
  <c r="K614" i="1"/>
  <c r="G617" i="1"/>
  <c r="G622" i="1"/>
  <c r="G623" i="1"/>
  <c r="G624" i="1"/>
  <c r="H639" i="1"/>
  <c r="H640" i="1"/>
  <c r="G643" i="1"/>
  <c r="H643" i="1"/>
  <c r="J643" i="1" s="1"/>
  <c r="G644" i="1"/>
  <c r="G645" i="1"/>
  <c r="H645" i="1"/>
  <c r="G652" i="1"/>
  <c r="H652" i="1"/>
  <c r="G653" i="1"/>
  <c r="H653" i="1"/>
  <c r="G654" i="1"/>
  <c r="H654" i="1"/>
  <c r="H655" i="1"/>
  <c r="C18" i="2"/>
  <c r="D17" i="13"/>
  <c r="C17" i="13" s="1"/>
  <c r="G62" i="2"/>
  <c r="D19" i="13"/>
  <c r="C19" i="13" s="1"/>
  <c r="E13" i="13"/>
  <c r="C13" i="13" s="1"/>
  <c r="J140" i="1"/>
  <c r="H140" i="1"/>
  <c r="H338" i="1"/>
  <c r="H352" i="1" s="1"/>
  <c r="J645" i="1"/>
  <c r="L570" i="1"/>
  <c r="G36" i="2"/>
  <c r="I52" i="1" l="1"/>
  <c r="H620" i="1" s="1"/>
  <c r="J620" i="1" s="1"/>
  <c r="E119" i="2"/>
  <c r="K338" i="1"/>
  <c r="K352" i="1" s="1"/>
  <c r="J604" i="1"/>
  <c r="J605" i="1" s="1"/>
  <c r="E110" i="2"/>
  <c r="K571" i="1"/>
  <c r="H571" i="1"/>
  <c r="D62" i="2"/>
  <c r="D63" i="2" s="1"/>
  <c r="G651" i="1"/>
  <c r="J651" i="1" s="1"/>
  <c r="I552" i="1"/>
  <c r="G192" i="1"/>
  <c r="D81" i="2"/>
  <c r="L362" i="1"/>
  <c r="G472" i="1" s="1"/>
  <c r="D127" i="2"/>
  <c r="D128" i="2" s="1"/>
  <c r="D145" i="2" s="1"/>
  <c r="G164" i="2"/>
  <c r="G156" i="2"/>
  <c r="K500" i="1"/>
  <c r="G161" i="2"/>
  <c r="K503" i="1"/>
  <c r="H552" i="1"/>
  <c r="J552" i="1"/>
  <c r="H545" i="1"/>
  <c r="K549" i="1"/>
  <c r="I545" i="1"/>
  <c r="I571" i="1"/>
  <c r="L565" i="1"/>
  <c r="F571" i="1"/>
  <c r="L560" i="1"/>
  <c r="K551" i="1"/>
  <c r="L524" i="1"/>
  <c r="K550" i="1"/>
  <c r="F552" i="1"/>
  <c r="K604" i="1"/>
  <c r="K605" i="1" s="1"/>
  <c r="G648" i="1" s="1"/>
  <c r="L208" i="1"/>
  <c r="C21" i="10" s="1"/>
  <c r="L202" i="1"/>
  <c r="C15" i="10" s="1"/>
  <c r="F663" i="1"/>
  <c r="G663" i="1"/>
  <c r="L203" i="1"/>
  <c r="C16" i="10" s="1"/>
  <c r="L204" i="1"/>
  <c r="C120" i="2" s="1"/>
  <c r="H211" i="1"/>
  <c r="H257" i="1" s="1"/>
  <c r="H271" i="1" s="1"/>
  <c r="G211" i="1"/>
  <c r="G257" i="1" s="1"/>
  <c r="G271" i="1" s="1"/>
  <c r="F211" i="1"/>
  <c r="F257" i="1" s="1"/>
  <c r="F271" i="1" s="1"/>
  <c r="C18" i="12"/>
  <c r="A22" i="12" s="1"/>
  <c r="L197" i="1"/>
  <c r="C10" i="10" s="1"/>
  <c r="L207" i="1"/>
  <c r="C123" i="2" s="1"/>
  <c r="I211" i="1"/>
  <c r="I257" i="1" s="1"/>
  <c r="I271" i="1" s="1"/>
  <c r="L198" i="1"/>
  <c r="C11" i="10" s="1"/>
  <c r="B9" i="12"/>
  <c r="A13" i="12" s="1"/>
  <c r="K211" i="1"/>
  <c r="K257" i="1" s="1"/>
  <c r="K271" i="1" s="1"/>
  <c r="A40" i="12"/>
  <c r="A31" i="12"/>
  <c r="C112" i="2"/>
  <c r="G662" i="1"/>
  <c r="C18" i="10"/>
  <c r="C125" i="2"/>
  <c r="J655" i="1"/>
  <c r="C25" i="10"/>
  <c r="C32" i="10"/>
  <c r="G625" i="1"/>
  <c r="H52" i="1"/>
  <c r="H619" i="1" s="1"/>
  <c r="J619" i="1" s="1"/>
  <c r="J617" i="1"/>
  <c r="D18" i="2"/>
  <c r="L614" i="1"/>
  <c r="K598" i="1"/>
  <c r="G647" i="1" s="1"/>
  <c r="J545" i="1"/>
  <c r="K545" i="1"/>
  <c r="L544" i="1"/>
  <c r="G552" i="1"/>
  <c r="L529" i="1"/>
  <c r="L534" i="1"/>
  <c r="G545" i="1"/>
  <c r="L539" i="1"/>
  <c r="J639" i="1"/>
  <c r="H461" i="1"/>
  <c r="H641" i="1" s="1"/>
  <c r="J641" i="1" s="1"/>
  <c r="J640" i="1"/>
  <c r="I446" i="1"/>
  <c r="G642" i="1" s="1"/>
  <c r="J642" i="1" s="1"/>
  <c r="L433" i="1"/>
  <c r="H408" i="1"/>
  <c r="H644" i="1" s="1"/>
  <c r="I408" i="1"/>
  <c r="J644" i="1"/>
  <c r="L393" i="1"/>
  <c r="C138" i="2" s="1"/>
  <c r="F130" i="2"/>
  <c r="F144" i="2" s="1"/>
  <c r="F145" i="2" s="1"/>
  <c r="L382" i="1"/>
  <c r="G661" i="1"/>
  <c r="J634" i="1"/>
  <c r="F661" i="1"/>
  <c r="H661" i="1"/>
  <c r="D29" i="13"/>
  <c r="C29" i="13" s="1"/>
  <c r="C26" i="10"/>
  <c r="E131" i="2"/>
  <c r="E144" i="2" s="1"/>
  <c r="L351" i="1"/>
  <c r="H25" i="13"/>
  <c r="L328" i="1"/>
  <c r="J338" i="1"/>
  <c r="J352" i="1" s="1"/>
  <c r="L309" i="1"/>
  <c r="E122" i="2"/>
  <c r="C13" i="10"/>
  <c r="G338" i="1"/>
  <c r="G352" i="1" s="1"/>
  <c r="E109" i="2"/>
  <c r="F338" i="1"/>
  <c r="F352" i="1" s="1"/>
  <c r="C19" i="10"/>
  <c r="L290" i="1"/>
  <c r="E112" i="2"/>
  <c r="L256" i="1"/>
  <c r="F22" i="13"/>
  <c r="C22" i="13" s="1"/>
  <c r="C29" i="10"/>
  <c r="D12" i="13"/>
  <c r="C12" i="13" s="1"/>
  <c r="L247" i="1"/>
  <c r="C121" i="2"/>
  <c r="L229" i="1"/>
  <c r="E16" i="13"/>
  <c r="C16" i="13" s="1"/>
  <c r="C12" i="10"/>
  <c r="J257" i="1"/>
  <c r="J271" i="1" s="1"/>
  <c r="C122" i="2"/>
  <c r="C111" i="2"/>
  <c r="D91" i="2"/>
  <c r="C91" i="2"/>
  <c r="E78" i="2"/>
  <c r="E81" i="2" s="1"/>
  <c r="C78" i="2"/>
  <c r="G81" i="2"/>
  <c r="F81" i="2"/>
  <c r="E57" i="2"/>
  <c r="E62" i="2" s="1"/>
  <c r="E63" i="2" s="1"/>
  <c r="C35" i="10"/>
  <c r="F112" i="1"/>
  <c r="C62" i="2"/>
  <c r="C63" i="2" s="1"/>
  <c r="C70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D5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H193" i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D103" i="2"/>
  <c r="I140" i="1"/>
  <c r="G50" i="2"/>
  <c r="J652" i="1"/>
  <c r="G571" i="1"/>
  <c r="I434" i="1"/>
  <c r="G434" i="1"/>
  <c r="G636" i="1" l="1"/>
  <c r="I472" i="1"/>
  <c r="G629" i="1"/>
  <c r="H468" i="1"/>
  <c r="E128" i="2"/>
  <c r="H663" i="1"/>
  <c r="I663" i="1" s="1"/>
  <c r="E115" i="2"/>
  <c r="L338" i="1"/>
  <c r="L352" i="1" s="1"/>
  <c r="G633" i="1" s="1"/>
  <c r="D6" i="13"/>
  <c r="C6" i="13" s="1"/>
  <c r="C118" i="2"/>
  <c r="G649" i="1"/>
  <c r="J649" i="1" s="1"/>
  <c r="C124" i="2"/>
  <c r="C17" i="10"/>
  <c r="L571" i="1"/>
  <c r="D104" i="2"/>
  <c r="C27" i="10"/>
  <c r="G474" i="1"/>
  <c r="H635" i="1"/>
  <c r="I661" i="1"/>
  <c r="G635" i="1"/>
  <c r="G638" i="1"/>
  <c r="J472" i="1"/>
  <c r="G646" i="1"/>
  <c r="J468" i="1"/>
  <c r="C109" i="2"/>
  <c r="K552" i="1"/>
  <c r="D15" i="13"/>
  <c r="C15" i="13" s="1"/>
  <c r="C119" i="2"/>
  <c r="F662" i="1"/>
  <c r="I662" i="1" s="1"/>
  <c r="H647" i="1"/>
  <c r="D14" i="13"/>
  <c r="C14" i="13" s="1"/>
  <c r="D7" i="13"/>
  <c r="C7" i="13" s="1"/>
  <c r="C110" i="2"/>
  <c r="C115" i="2" s="1"/>
  <c r="E8" i="13"/>
  <c r="C8" i="13" s="1"/>
  <c r="C20" i="10"/>
  <c r="D5" i="13"/>
  <c r="C5" i="13" s="1"/>
  <c r="L211" i="1"/>
  <c r="H660" i="1"/>
  <c r="H664" i="1" s="1"/>
  <c r="H667" i="1" s="1"/>
  <c r="J647" i="1"/>
  <c r="G660" i="1"/>
  <c r="G664" i="1" s="1"/>
  <c r="G667" i="1" s="1"/>
  <c r="F51" i="2"/>
  <c r="L545" i="1"/>
  <c r="G51" i="2"/>
  <c r="H646" i="1"/>
  <c r="C25" i="13"/>
  <c r="H33" i="13"/>
  <c r="D31" i="13"/>
  <c r="C31" i="13" s="1"/>
  <c r="H648" i="1"/>
  <c r="J648" i="1" s="1"/>
  <c r="I193" i="1"/>
  <c r="F104" i="2"/>
  <c r="E104" i="2"/>
  <c r="C81" i="2"/>
  <c r="G104" i="2"/>
  <c r="C104" i="2"/>
  <c r="C36" i="10"/>
  <c r="F193" i="1"/>
  <c r="C51" i="2"/>
  <c r="G631" i="1"/>
  <c r="G193" i="1"/>
  <c r="G626" i="1"/>
  <c r="J52" i="1"/>
  <c r="H621" i="1" s="1"/>
  <c r="J621" i="1" s="1"/>
  <c r="C38" i="10"/>
  <c r="I474" i="1" l="1"/>
  <c r="H636" i="1"/>
  <c r="J636" i="1"/>
  <c r="G630" i="1"/>
  <c r="I468" i="1"/>
  <c r="H629" i="1"/>
  <c r="J629" i="1" s="1"/>
  <c r="H470" i="1"/>
  <c r="E145" i="2"/>
  <c r="H472" i="1"/>
  <c r="H633" i="1" s="1"/>
  <c r="J633" i="1" s="1"/>
  <c r="C128" i="2"/>
  <c r="C28" i="10"/>
  <c r="D24" i="10" s="1"/>
  <c r="G628" i="1"/>
  <c r="G468" i="1"/>
  <c r="J635" i="1"/>
  <c r="H638" i="1"/>
  <c r="J638" i="1" s="1"/>
  <c r="J474" i="1"/>
  <c r="J470" i="1"/>
  <c r="H637" i="1"/>
  <c r="J637" i="1" s="1"/>
  <c r="H631" i="1"/>
  <c r="J631" i="1"/>
  <c r="J646" i="1"/>
  <c r="E33" i="13"/>
  <c r="D35" i="13" s="1"/>
  <c r="G627" i="1"/>
  <c r="F468" i="1"/>
  <c r="F660" i="1"/>
  <c r="F664" i="1" s="1"/>
  <c r="F672" i="1" s="1"/>
  <c r="C4" i="10" s="1"/>
  <c r="L257" i="1"/>
  <c r="L271" i="1" s="1"/>
  <c r="F472" i="1" s="1"/>
  <c r="F474" i="1" s="1"/>
  <c r="H672" i="1"/>
  <c r="C6" i="10" s="1"/>
  <c r="C145" i="2"/>
  <c r="G672" i="1"/>
  <c r="C5" i="10" s="1"/>
  <c r="D33" i="13"/>
  <c r="D36" i="13" s="1"/>
  <c r="C41" i="10"/>
  <c r="D38" i="10" s="1"/>
  <c r="I470" i="1" l="1"/>
  <c r="I476" i="1" s="1"/>
  <c r="H625" i="1" s="1"/>
  <c r="J625" i="1" s="1"/>
  <c r="H630" i="1"/>
  <c r="J630" i="1" s="1"/>
  <c r="H474" i="1"/>
  <c r="H476" i="1" s="1"/>
  <c r="H624" i="1" s="1"/>
  <c r="J624" i="1" s="1"/>
  <c r="G632" i="1"/>
  <c r="D15" i="10"/>
  <c r="D17" i="10"/>
  <c r="D16" i="10"/>
  <c r="D22" i="10"/>
  <c r="D11" i="10"/>
  <c r="D25" i="10"/>
  <c r="D12" i="10"/>
  <c r="D21" i="10"/>
  <c r="D10" i="10"/>
  <c r="D19" i="10"/>
  <c r="C30" i="10"/>
  <c r="D18" i="10"/>
  <c r="D20" i="10"/>
  <c r="D27" i="10"/>
  <c r="D23" i="10"/>
  <c r="D13" i="10"/>
  <c r="D26" i="10"/>
  <c r="H628" i="1"/>
  <c r="J628" i="1" s="1"/>
  <c r="G470" i="1"/>
  <c r="G476" i="1" s="1"/>
  <c r="H623" i="1" s="1"/>
  <c r="J623" i="1" s="1"/>
  <c r="J476" i="1"/>
  <c r="H626" i="1" s="1"/>
  <c r="J626" i="1" s="1"/>
  <c r="F470" i="1"/>
  <c r="F476" i="1" s="1"/>
  <c r="H622" i="1" s="1"/>
  <c r="J622" i="1" s="1"/>
  <c r="H627" i="1"/>
  <c r="J627" i="1" s="1"/>
  <c r="H632" i="1"/>
  <c r="J632" i="1" s="1"/>
  <c r="I660" i="1"/>
  <c r="I664" i="1" s="1"/>
  <c r="I672" i="1" s="1"/>
  <c r="C7" i="10" s="1"/>
  <c r="F667" i="1"/>
  <c r="D37" i="10"/>
  <c r="D36" i="10"/>
  <c r="D35" i="10"/>
  <c r="D40" i="10"/>
  <c r="D39" i="10"/>
  <c r="D28" i="10" l="1"/>
  <c r="H656" i="1"/>
  <c r="I667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<sst xmlns="http://schemas.openxmlformats.org/spreadsheetml/2006/main" count="3962" uniqueCount="917">
  <si>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</si>
  <si>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</si>
  <si>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</si>
  <si>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</si>
  <si>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</si>
  <si>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</si>
  <si>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</si>
  <si>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</si>
  <si>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</si>
  <si>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</si>
  <si>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</si>
  <si>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</si>
  <si>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</si>
  <si>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</si>
  <si>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</si>
  <si>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</si>
  <si>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</si>
  <si>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</si>
  <si>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</si>
  <si>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</si>
  <si>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</si>
  <si>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</si>
  <si>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</si>
  <si>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</si>
  <si>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</si>
  <si>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</si>
  <si>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</si>
  <si>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</si>
  <si>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</si>
  <si>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</si>
  <si>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</si>
  <si>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</si>
  <si>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</si>
  <si>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</si>
  <si>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</si>
  <si>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</si>
  <si>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</si>
  <si>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</si>
  <si>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</si>
  <si>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</si>
  <si>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</si>
  <si>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</si>
  <si>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</si>
  <si>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</si>
  <si>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</si>
  <si>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</si>
  <si>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</si>
  <si>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</si>
  <si>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</si>
  <si>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</si>
  <si>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</si>
  <si>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</si>
  <si>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</si>
  <si>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</si>
  <si>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</si>
  <si>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</si>
  <si>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</si>
  <si>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</si>
  <si>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</si>
  <si>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</si>
  <si>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</si>
  <si>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</si>
  <si>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</si>
  <si>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</si>
  <si>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</si>
  <si>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</si>
  <si>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</si>
  <si>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</si>
  <si>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</si>
  <si>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</si>
  <si>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</si>
  <si>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</si>
  <si>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</si>
  <si>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</si>
  <si>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</si>
  <si>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</si>
  <si>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</si>
  <si>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</si>
  <si>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</si>
  <si>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</si>
  <si>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</si>
  <si>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</si>
  <si>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</si>
  <si>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</si>
  <si>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</si>
  <si>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</si>
  <si>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</si>
  <si>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</si>
  <si>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</si>
  <si>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</si>
  <si>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</si>
  <si>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</si>
  <si>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</si>
  <si>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</si>
  <si>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</si>
  <si>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</si>
  <si>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</si>
  <si>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</si>
  <si>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</si>
  <si>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</si>
  <si>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</si>
  <si>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</si>
  <si>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</si>
  <si>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</si>
  <si>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</si>
  <si>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</si>
  <si>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</si>
  <si>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</si>
  <si>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</si>
  <si>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</si>
  <si>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</si>
  <si>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</si>
  <si>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</si>
  <si>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</si>
  <si>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</si>
  <si>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</si>
  <si>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</si>
  <si>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</si>
  <si>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</si>
  <si>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</si>
  <si>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</si>
  <si>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</si>
  <si>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</si>
  <si>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</si>
  <si>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</si>
  <si>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</si>
  <si>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</si>
  <si>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</si>
  <si>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</si>
  <si>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</si>
  <si>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</si>
  <si>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</si>
  <si>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</si>
  <si>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</si>
  <si>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</si>
  <si>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</si>
  <si>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</si>
  <si>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</si>
  <si>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</si>
  <si>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</si>
  <si>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</si>
  <si>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</si>
  <si>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</si>
  <si>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</si>
  <si>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</si>
  <si>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</si>
  <si>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</si>
  <si>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</si>
  <si>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</si>
  <si>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</si>
  <si>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</si>
  <si>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</si>
  <si>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</si>
  <si>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</si>
  <si>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</si>
  <si>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</si>
  <si>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</si>
  <si>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</si>
  <si>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</si>
  <si>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</si>
  <si>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</si>
  <si>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</si>
  <si>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</si>
  <si>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</si>
  <si>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</si>
  <si>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</si>
  <si>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</si>
  <si>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</si>
  <si>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</si>
  <si>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</si>
  <si>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</si>
  <si>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</si>
  <si>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</si>
  <si>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</si>
  <si>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</si>
  <si>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</si>
  <si>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</si>
  <si>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</si>
  <si>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</si>
  <si>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</si>
  <si>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</si>
  <si>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</si>
  <si>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</si>
  <si>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</si>
  <si>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</si>
  <si>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</si>
  <si>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</si>
  <si>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</si>
  <si>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</si>
  <si>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</si>
  <si>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</si>
  <si>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</si>
  <si>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</si>
  <si>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</si>
  <si>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</si>
  <si>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</si>
  <si>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</si>
  <si>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</si>
  <si>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</si>
  <si>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</si>
  <si>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</si>
  <si>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</si>
  <si>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</si>
  <si>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</si>
  <si>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</si>
  <si>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</si>
  <si>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</si>
  <si>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</si>
  <si>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</si>
  <si>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</si>
  <si>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</si>
  <si>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</si>
  <si>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</si>
  <si>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</si>
  <si>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</si>
  <si>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</si>
  <si>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</si>
  <si>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</si>
  <si>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</si>
  <si>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</si>
  <si>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</si>
  <si>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</si>
  <si>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</si>
  <si>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</si>
  <si>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</si>
  <si>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</si>
  <si>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</si>
  <si>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</si>
  <si>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</si>
  <si>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</si>
  <si>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</si>
  <si>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</si>
  <si>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</si>
  <si>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</si>
  <si>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</si>
  <si>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</si>
  <si>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</si>
  <si>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</si>
  <si>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</si>
  <si>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</si>
  <si>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</si>
  <si>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</si>
  <si>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</si>
  <si>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</si>
  <si>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</si>
  <si>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</si>
  <si>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</si>
  <si>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</si>
  <si>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</si>
  <si>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</si>
  <si>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</si>
  <si>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</si>
  <si>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</si>
  <si>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</si>
  <si>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</si>
  <si>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</si>
  <si>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</si>
  <si>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</si>
  <si>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</si>
  <si>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</si>
  <si>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</si>
  <si>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</si>
  <si>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</si>
  <si>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</si>
  <si>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</si>
  <si>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</si>
  <si>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</si>
  <si>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</si>
  <si>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</si>
  <si>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</si>
  <si>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</si>
  <si>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</si>
  <si>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</si>
  <si>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</si>
  <si>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</si>
  <si>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</si>
  <si>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</si>
  <si>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</si>
  <si>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</si>
  <si>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</si>
  <si>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</si>
  <si>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</si>
  <si>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</si>
  <si>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</si>
  <si>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</si>
  <si>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</si>
  <si>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</si>
  <si>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</si>
  <si>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</si>
  <si>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</si>
  <si>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</si>
  <si>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</si>
  <si>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</si>
  <si>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</si>
  <si>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</si>
  <si>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</si>
  <si>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</si>
  <si>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</si>
  <si>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</si>
  <si>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</si>
  <si>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</si>
  <si>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</si>
  <si>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</si>
  <si>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</si>
  <si>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</si>
  <si>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</si>
  <si>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</si>
  <si>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</si>
  <si>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</si>
  <si>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</si>
  <si>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</si>
  <si>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</si>
  <si>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</si>
  <si>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</si>
  <si>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</si>
  <si>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</si>
  <si>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</si>
  <si>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</si>
  <si>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</si>
  <si>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</si>
  <si>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</si>
  <si>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</si>
  <si>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</si>
  <si>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</si>
  <si>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</si>
  <si>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</si>
  <si>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</si>
  <si>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</si>
  <si>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</si>
  <si>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</si>
  <si>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</si>
  <si>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</si>
  <si>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</si>
  <si>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</si>
  <si>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</si>
  <si>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</si>
  <si>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</si>
  <si>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</si>
  <si>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</si>
  <si>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</si>
  <si>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</si>
  <si>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</si>
  <si>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</si>
  <si>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</si>
  <si>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</si>
  <si>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</si>
  <si>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</si>
  <si>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</si>
  <si>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</si>
  <si>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</si>
  <si>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</si>
  <si>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</si>
  <si>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</si>
  <si>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</si>
  <si>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</si>
  <si>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</si>
  <si>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</si>
  <si>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</si>
  <si>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</si>
  <si>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</si>
  <si>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</si>
  <si>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</si>
  <si>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</si>
  <si>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</si>
  <si>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</si>
  <si>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</si>
  <si>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</si>
  <si>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</si>
  <si>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</si>
  <si>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</si>
  <si>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</si>
  <si>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</si>
  <si>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</si>
  <si>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</si>
  <si>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</si>
  <si>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</si>
  <si>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</si>
  <si>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</si>
  <si>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</si>
  <si>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</si>
  <si>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</si>
  <si>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</si>
  <si>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</si>
  <si>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</si>
  <si>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</si>
  <si>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</si>
  <si>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</si>
  <si>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</si>
  <si>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</si>
  <si>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</si>
  <si>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</si>
  <si>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</si>
  <si>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</si>
  <si>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</si>
  <si>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</si>
  <si>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</si>
  <si>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</si>
  <si>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</si>
  <si>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</si>
  <si>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</si>
  <si>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</si>
  <si>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</si>
  <si>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</si>
  <si>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</si>
  <si>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</si>
  <si>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</si>
  <si>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</si>
  <si>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</si>
  <si>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</si>
  <si>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</si>
  <si>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</si>
  <si>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</si>
  <si>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</si>
  <si>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</si>
  <si>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</si>
  <si>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</si>
  <si>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</si>
  <si>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</si>
  <si>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</si>
  <si>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</si>
  <si>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</si>
  <si>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</si>
  <si>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</si>
  <si>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</si>
  <si>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</si>
  <si>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</si>
  <si>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</si>
  <si>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</si>
  <si>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</si>
  <si>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</si>
  <si>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</si>
  <si>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</si>
  <si>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</si>
  <si>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</si>
  <si>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</si>
  <si>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</si>
  <si>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</si>
  <si>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</si>
  <si>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</si>
  <si>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</si>
  <si>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</si>
  <si>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</si>
  <si>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</si>
  <si>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</si>
  <si>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</si>
  <si>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</si>
  <si>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</si>
  <si>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</si>
  <si>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</si>
  <si>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</si>
  <si>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</si>
  <si>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</si>
  <si>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</si>
  <si>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</si>
  <si>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</si>
  <si>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</si>
  <si>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</si>
  <si>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</si>
  <si>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</si>
  <si>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</si>
  <si>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</si>
  <si>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</si>
  <si>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</si>
  <si>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</si>
  <si>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</si>
  <si>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</si>
  <si>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</si>
  <si>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</si>
  <si>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</si>
  <si>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</si>
  <si>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</si>
  <si>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</si>
  <si>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</si>
  <si>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</si>
  <si>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</si>
  <si>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</si>
  <si>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</si>
  <si>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</si>
  <si>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</si>
  <si>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</si>
  <si>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</si>
  <si>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</si>
  <si>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</si>
  <si>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</si>
  <si>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</si>
  <si>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</si>
  <si>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</si>
  <si>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</si>
  <si>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</si>
  <si>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</si>
  <si>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</si>
  <si>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</si>
  <si>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</si>
  <si>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</si>
  <si>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</si>
  <si>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</si>
  <si>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</si>
  <si>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</si>
  <si>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</si>
  <si>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</si>
  <si>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</si>
  <si>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</si>
  <si>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</si>
  <si>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</si>
  <si>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</si>
  <si>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</si>
  <si>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</si>
  <si>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</si>
  <si>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</si>
  <si>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</si>
  <si>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</si>
  <si>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</si>
  <si>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</si>
  <si>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</si>
  <si>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</si>
  <si>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</si>
  <si>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</si>
  <si>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</si>
  <si>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</si>
  <si>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</si>
  <si>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</si>
  <si>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</si>
  <si>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</si>
  <si>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</si>
  <si>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</si>
  <si>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</si>
  <si>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</si>
  <si>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</si>
  <si>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</si>
  <si>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</si>
  <si>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</si>
  <si>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</si>
  <si>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</si>
  <si>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</si>
  <si>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</si>
  <si>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</si>
  <si>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</si>
  <si>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</si>
  <si>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</si>
  <si>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</si>
  <si>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</si>
  <si>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</si>
  <si>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</si>
  <si>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</si>
  <si>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</si>
  <si>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</si>
  <si>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</si>
  <si>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</si>
  <si>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</si>
  <si>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</si>
  <si>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</si>
  <si>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</si>
  <si>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</si>
  <si>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</si>
  <si>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</si>
  <si>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</si>
  <si>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</si>
  <si>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</si>
  <si>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</si>
  <si>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</si>
  <si>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</si>
  <si>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</si>
  <si>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</si>
  <si>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</si>
  <si>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</si>
  <si>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</si>
  <si>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</si>
  <si>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</si>
  <si>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</si>
  <si>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</si>
  <si>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</si>
  <si>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</si>
  <si>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</si>
  <si>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</si>
  <si>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</si>
  <si>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</si>
  <si>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</si>
  <si>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</si>
  <si>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</si>
  <si>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</si>
  <si>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</si>
  <si>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</si>
  <si>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</si>
  <si>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</si>
  <si>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</si>
  <si>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</si>
  <si>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</si>
  <si>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</si>
  <si>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</si>
  <si>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</si>
  <si>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</si>
  <si>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</si>
  <si>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</si>
  <si>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</si>
  <si>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</si>
  <si>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</si>
  <si>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</si>
  <si>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</si>
  <si>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</si>
  <si>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</si>
  <si>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</si>
  <si>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</si>
  <si>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</si>
  <si>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</si>
  <si>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</si>
  <si>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</si>
  <si>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</si>
  <si>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</si>
  <si>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</si>
  <si>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</si>
  <si>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</si>
  <si>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</si>
  <si>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</si>
  <si>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</si>
  <si>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</si>
  <si>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</si>
  <si>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</si>
  <si>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</si>
  <si>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</si>
  <si>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</si>
  <si>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</si>
  <si>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</si>
  <si>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</si>
  <si>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</si>
  <si>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</si>
  <si>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</si>
  <si>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</si>
  <si>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</si>
  <si>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</si>
  <si>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</si>
  <si>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</si>
  <si>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</si>
  <si>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</si>
  <si>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</si>
  <si>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</si>
  <si>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</si>
  <si>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</si>
  <si>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</si>
  <si>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</si>
  <si>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</si>
  <si>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</si>
  <si>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</si>
  <si>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</si>
  <si>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</si>
  <si>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</si>
  <si>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</si>
  <si>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</si>
  <si>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</si>
  <si>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</si>
  <si>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</si>
  <si>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</si>
  <si>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</si>
  <si>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</si>
  <si>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</si>
  <si>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</si>
  <si>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</si>
  <si>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</si>
  <si>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</si>
  <si>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</si>
  <si>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</si>
  <si>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</si>
  <si>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</si>
  <si>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</si>
  <si>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</si>
  <si>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</si>
  <si>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</si>
  <si>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</si>
  <si>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</si>
  <si>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</si>
  <si>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</si>
  <si>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</si>
  <si>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</si>
  <si>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</si>
  <si>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</si>
  <si>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</si>
  <si>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</si>
  <si>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</si>
  <si>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</si>
  <si>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</si>
  <si>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</si>
  <si>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</si>
  <si>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</si>
  <si>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</si>
  <si>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</si>
  <si>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</si>
  <si>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</si>
  <si>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</si>
  <si>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</si>
  <si>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</si>
  <si>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</si>
  <si>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</si>
  <si>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</si>
  <si>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</si>
  <si>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</si>
  <si>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</si>
  <si>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</si>
  <si>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</si>
  <si>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</si>
  <si>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</si>
  <si>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</si>
  <si>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</si>
  <si>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</si>
  <si>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</si>
  <si>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</si>
  <si>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</si>
  <si>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</si>
  <si>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</si>
  <si>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</si>
  <si>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</si>
  <si>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</si>
  <si>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</si>
  <si>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</si>
  <si>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</si>
  <si>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</si>
  <si>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</si>
  <si>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</si>
  <si>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</si>
  <si>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</si>
  <si>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</si>
  <si>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</si>
  <si>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</si>
  <si>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</si>
  <si>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</si>
  <si>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</si>
  <si>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</si>
  <si>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</si>
  <si>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</si>
  <si>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</si>
  <si>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</si>
  <si>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</si>
  <si>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</si>
  <si>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</si>
  <si>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</si>
  <si>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</si>
  <si>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</si>
  <si>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</si>
  <si>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</si>
  <si>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</si>
  <si>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</si>
  <si>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</si>
  <si>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</si>
  <si>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</si>
  <si>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</si>
  <si>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</si>
  <si>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</si>
  <si>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</si>
  <si>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</si>
  <si>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</si>
  <si>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</si>
  <si>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</si>
  <si>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</si>
  <si>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</si>
  <si>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</si>
  <si>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</si>
  <si>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</si>
  <si>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</si>
  <si>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</si>
  <si>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</si>
  <si>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</si>
  <si>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</si>
  <si>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</si>
  <si>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</si>
  <si>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</si>
  <si>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</si>
  <si>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</si>
  <si>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</si>
  <si>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</si>
  <si>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</si>
  <si>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</si>
  <si>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</si>
  <si>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</si>
  <si>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</si>
  <si>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</si>
  <si>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</si>
  <si>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</si>
  <si>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</si>
  <si>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</si>
  <si>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</si>
  <si>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</si>
  <si>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</si>
  <si>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</si>
  <si>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</si>
  <si>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</si>
  <si>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</si>
  <si>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</si>
  <si>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</si>
  <si>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</si>
  <si>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</si>
  <si>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</si>
  <si>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</si>
  <si>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</si>
  <si>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</si>
  <si>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</si>
  <si>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</si>
  <si>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</si>
  <si>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</si>
  <si>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</si>
  <si>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</si>
  <si>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</si>
  <si>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</si>
  <si>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</si>
  <si>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</si>
  <si>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</si>
  <si>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</si>
  <si>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</si>
  <si>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</si>
  <si>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</si>
  <si>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</si>
  <si>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</si>
  <si>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</si>
  <si>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</si>
  <si>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</si>
  <si>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</si>
  <si>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</si>
  <si>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</si>
  <si>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</si>
  <si>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</si>
  <si>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</si>
  <si>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</si>
  <si>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</si>
  <si>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</si>
  <si>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</si>
  <si>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</si>
  <si>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</si>
  <si>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</si>
  <si>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</si>
  <si>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</si>
  <si>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</si>
  <si>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</si>
  <si>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</si>
  <si>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</si>
  <si>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</si>
  <si>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</si>
  <si>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</si>
  <si>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</si>
  <si>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</si>
  <si>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</si>
  <si>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</si>
  <si>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</si>
  <si>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</si>
  <si>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</si>
  <si>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</si>
  <si>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</si>
  <si>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</si>
  <si>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</si>
  <si>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</si>
  <si>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</si>
  <si>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</si>
  <si>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</si>
  <si>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</si>
  <si>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</si>
  <si>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</si>
  <si>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</si>
  <si>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</si>
  <si>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</si>
  <si>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</si>
  <si>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</si>
  <si>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</si>
  <si>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</si>
  <si>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</si>
  <si>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</si>
  <si>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</si>
  <si>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</si>
  <si>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</si>
  <si>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</si>
  <si>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</si>
  <si>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</si>
  <si>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</si>
  <si>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</si>
  <si>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</si>
  <si>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</si>
  <si>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</si>
  <si>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</si>
  <si>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</si>
  <si>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</si>
  <si>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</si>
  <si>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</si>
  <si>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</si>
  <si>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</si>
  <si>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</si>
  <si>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</si>
  <si>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</si>
  <si>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</si>
  <si>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</si>
  <si>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</si>
  <si>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</si>
  <si>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</si>
  <si>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</si>
  <si>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</si>
  <si>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</si>
  <si>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</si>
  <si>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</si>
  <si>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</si>
  <si>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</si>
  <si>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</si>
  <si>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</si>
  <si>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</si>
  <si>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</si>
  <si>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</si>
  <si>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</si>
  <si>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</si>
  <si>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</si>
  <si>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</si>
  <si>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</si>
  <si>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</si>
  <si>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</si>
  <si>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</si>
  <si>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</si>
  <si>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</si>
  <si>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</si>
  <si>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</si>
  <si>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</t>
  </si>
  <si>
    <t>07/08</t>
  </si>
  <si>
    <t>01/10</t>
  </si>
  <si>
    <t>08/18</t>
  </si>
  <si>
    <t>01/30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</si>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</sst>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4" t="s">
        <v>916</v>
      </c>
      <c r="B2" s="21">
        <v>491</v>
      </c>
      <c r="C2" s="21">
        <v>491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47123.96</v>
      </c>
      <c r="J9" s="66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320695.40000000002</v>
      </c>
      <c r="G12" s="18">
        <v>34730.379999999997</v>
      </c>
      <c r="H12" s="18">
        <v>0</v>
      </c>
      <c r="I12" s="18">
        <f>77618.86+930261.7</f>
        <v>1007880.5599999999</v>
      </c>
      <c r="J12" s="66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43849.120000000003</v>
      </c>
      <c r="H13" s="18">
        <v>0</v>
      </c>
      <c r="I13" s="18">
        <v>0</v>
      </c>
      <c r="J13" s="66">
        <f>SUM(I442)</f>
        <v>462634.13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130050.27</v>
      </c>
      <c r="G14" s="18">
        <v>0</v>
      </c>
      <c r="H14" s="18">
        <v>305945.11</v>
      </c>
      <c r="I14" s="18">
        <v>0</v>
      </c>
      <c r="J14" s="66">
        <f>SUM(I443)</f>
        <v>2663.34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450745.67000000004</v>
      </c>
      <c r="G19" s="41">
        <f>SUM(G9:G18)</f>
        <v>78579.5</v>
      </c>
      <c r="H19" s="41">
        <f>SUM(H9:H18)</f>
        <v>305945.11</v>
      </c>
      <c r="I19" s="41">
        <f>SUM(I9:I18)</f>
        <v>1055004.52</v>
      </c>
      <c r="J19" s="41">
        <f>SUM(J9:J18)</f>
        <v>465297.47000000003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134223.59</v>
      </c>
      <c r="I22" s="18">
        <v>7.23</v>
      </c>
      <c r="J22" s="66">
        <f>SUM(I448)</f>
        <v>342794.62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450745.67</v>
      </c>
      <c r="G24" s="18">
        <v>40839.01</v>
      </c>
      <c r="H24" s="18">
        <v>0</v>
      </c>
      <c r="I24" s="18">
        <v>0</v>
      </c>
      <c r="J24" s="66">
        <f>SUM(I450)</f>
        <v>1101.46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104149.09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470823.83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450745.67</v>
      </c>
      <c r="G32" s="41">
        <f>SUM(G22:G31)</f>
        <v>40839.01</v>
      </c>
      <c r="H32" s="41">
        <f>SUM(H22:H31)</f>
        <v>238372.68</v>
      </c>
      <c r="I32" s="41">
        <f>SUM(I22:I31)</f>
        <v>470831.06</v>
      </c>
      <c r="J32" s="41">
        <f>SUM(J22:J31)</f>
        <v>343896.08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f>244509.84-119774.25+459437.87</f>
        <v>584173.46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14148.35+23592.14</f>
        <v>37740.49</v>
      </c>
      <c r="H48" s="18">
        <f>61722.03+5850.4</f>
        <v>67572.429999999993</v>
      </c>
      <c r="I48" s="18">
        <v>0</v>
      </c>
      <c r="J48" s="13">
        <f>SUM(I459)</f>
        <v>121401.39000000001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37740.49</v>
      </c>
      <c r="H51" s="41">
        <f>SUM(H35:H50)</f>
        <v>67572.429999999993</v>
      </c>
      <c r="I51" s="41">
        <f>SUM(I35:I50)</f>
        <v>584173.46</v>
      </c>
      <c r="J51" s="41">
        <f>SUM(J35:J50)</f>
        <v>121401.39000000001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450745.67</v>
      </c>
      <c r="G52" s="41">
        <f>G51+G32</f>
        <v>78579.5</v>
      </c>
      <c r="H52" s="41">
        <f>H51+H32</f>
        <v>305945.11</v>
      </c>
      <c r="I52" s="41">
        <f>I51+I32</f>
        <v>1055004.52</v>
      </c>
      <c r="J52" s="41">
        <f>J51+J32</f>
        <v>465297.47000000003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13018894-2434376.64</f>
        <v>10584517.359999999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10584517.359999999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1525119.44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87090.62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14684.35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1626894.4100000001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135552.65+12167.55+3202.85-7929.26+14666.35+94691.2</f>
        <v>252351.33999999997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4312.5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139556.78</v>
      </c>
      <c r="G110" s="18">
        <v>33771.919999999998</v>
      </c>
      <c r="H110" s="18">
        <v>0</v>
      </c>
      <c r="I110" s="18">
        <v>0</v>
      </c>
      <c r="J110" s="18">
        <v>157103.54999999999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143869.28</v>
      </c>
      <c r="G111" s="41">
        <f>SUM(G96:G110)</f>
        <v>286123.25999999995</v>
      </c>
      <c r="H111" s="41">
        <f>SUM(H96:H110)</f>
        <v>0</v>
      </c>
      <c r="I111" s="41">
        <f>SUM(I96:I110)</f>
        <v>0</v>
      </c>
      <c r="J111" s="41">
        <f>SUM(J96:J110)</f>
        <v>157103.54999999999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12355281.049999999</v>
      </c>
      <c r="G112" s="41">
        <f>G60+G111</f>
        <v>286123.25999999995</v>
      </c>
      <c r="H112" s="41">
        <f>H60+H79+H94+H111</f>
        <v>0</v>
      </c>
      <c r="I112" s="41">
        <f>I60+I111</f>
        <v>0</v>
      </c>
      <c r="J112" s="41">
        <f>J60+J111</f>
        <v>157103.54999999999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7595901.25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1938629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9534530.25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909037.38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277301.65000000002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51171.57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2678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7659.92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1240188.6000000001</v>
      </c>
      <c r="G136" s="41">
        <f>SUM(G123:G135)</f>
        <v>7659.92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10774718.85</v>
      </c>
      <c r="G140" s="41">
        <f>G121+SUM(G136:G137)</f>
        <v>7659.92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41857.77+24053.76+486284.4+54678.74+39434.91+32275</f>
        <v>678584.58000000007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1218642.49-H154-H156</f>
        <v>457207.41999999993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6487.9+76362.59</f>
        <v>82850.489999999991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436709.64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391634.86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41706.17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391634.86</v>
      </c>
      <c r="G162" s="41">
        <f>SUM(G150:G161)</f>
        <v>478415.81</v>
      </c>
      <c r="H162" s="41">
        <f>SUM(H150:H161)</f>
        <v>1218642.49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391634.86</v>
      </c>
      <c r="G169" s="41">
        <f>G147+G162+SUM(G163:G168)</f>
        <v>478415.81</v>
      </c>
      <c r="H169" s="41">
        <f>H147+H162+SUM(H163:H168)</f>
        <v>1218642.49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650000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80400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730400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10000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10000</v>
      </c>
      <c r="H192" s="41">
        <f>+H183+SUM(H188:H191)</f>
        <v>0</v>
      </c>
      <c r="I192" s="41">
        <f>I177+I183+SUM(I188:I191)</f>
        <v>730400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23521634.759999998</v>
      </c>
      <c r="G193" s="47">
        <f>G112+G140+G169+G192</f>
        <v>782198.99</v>
      </c>
      <c r="H193" s="47">
        <f>H112+H140+H169+H192</f>
        <v>1218642.49</v>
      </c>
      <c r="I193" s="47">
        <f>I112+I140+I169+I192</f>
        <v>730400</v>
      </c>
      <c r="J193" s="47">
        <f>J112+J140+J192</f>
        <v>157103.54999999999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2335063.5793512305</v>
      </c>
      <c r="G197" s="18">
        <v>1327950.0019686799</v>
      </c>
      <c r="H197" s="18">
        <v>60436.920178970919</v>
      </c>
      <c r="I197" s="18">
        <v>83383.819026845638</v>
      </c>
      <c r="J197" s="18">
        <v>6614.15</v>
      </c>
      <c r="K197" s="18">
        <v>0</v>
      </c>
      <c r="L197" s="19">
        <f>SUM(F197:K197)</f>
        <v>3813448.4705257267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1177362.4341387025</v>
      </c>
      <c r="G198" s="18">
        <v>824432.90187919466</v>
      </c>
      <c r="H198" s="18">
        <v>312908.19640939601</v>
      </c>
      <c r="I198" s="18">
        <v>11560.68</v>
      </c>
      <c r="J198" s="18">
        <v>80.55</v>
      </c>
      <c r="K198" s="18">
        <v>0</v>
      </c>
      <c r="L198" s="19">
        <f>SUM(F198:K198)</f>
        <v>2326344.7624272932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385600.58014541387</v>
      </c>
      <c r="G202" s="18">
        <v>205597.67826621921</v>
      </c>
      <c r="H202" s="18">
        <v>157107.20890380314</v>
      </c>
      <c r="I202" s="18">
        <v>1313.87</v>
      </c>
      <c r="J202" s="18">
        <v>279</v>
      </c>
      <c r="K202" s="18">
        <v>5320.9674049217001</v>
      </c>
      <c r="L202" s="19">
        <f t="shared" ref="L202:L208" si="0">SUM(F202:K202)</f>
        <v>755219.30472035788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43839</v>
      </c>
      <c r="G203" s="18">
        <v>11568.224552572708</v>
      </c>
      <c r="H203" s="18">
        <v>19923.979787472035</v>
      </c>
      <c r="I203" s="18">
        <v>3217.1</v>
      </c>
      <c r="J203" s="18">
        <v>0</v>
      </c>
      <c r="K203" s="18">
        <v>0</v>
      </c>
      <c r="L203" s="19">
        <f t="shared" si="0"/>
        <v>78548.30434004475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1871.0290827740494</v>
      </c>
      <c r="G204" s="18">
        <v>344.66096196868011</v>
      </c>
      <c r="H204" s="18">
        <v>433148.6673489933</v>
      </c>
      <c r="I204" s="18">
        <v>2908.5495190156603</v>
      </c>
      <c r="J204" s="18">
        <v>0</v>
      </c>
      <c r="K204" s="18">
        <v>2225.528176733781</v>
      </c>
      <c r="L204" s="19">
        <f t="shared" si="0"/>
        <v>440498.43508948543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361649.82</v>
      </c>
      <c r="G205" s="18">
        <v>178856.54</v>
      </c>
      <c r="H205" s="18">
        <v>12610.13841163311</v>
      </c>
      <c r="I205" s="18">
        <v>2921.96</v>
      </c>
      <c r="J205" s="18">
        <v>0</v>
      </c>
      <c r="K205" s="18">
        <v>2334</v>
      </c>
      <c r="L205" s="19">
        <f t="shared" si="0"/>
        <v>558372.45841163304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332582.92263982102</v>
      </c>
      <c r="G207" s="18">
        <v>163020.90478747204</v>
      </c>
      <c r="H207" s="18">
        <v>209991.62163310964</v>
      </c>
      <c r="I207" s="18">
        <v>235741.32751677852</v>
      </c>
      <c r="J207" s="18">
        <v>828.64</v>
      </c>
      <c r="K207" s="18">
        <v>0</v>
      </c>
      <c r="L207" s="19">
        <f t="shared" si="0"/>
        <v>942165.4165771812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433459.85429530207</v>
      </c>
      <c r="I208" s="18">
        <v>1379.305234899329</v>
      </c>
      <c r="J208" s="18">
        <v>0</v>
      </c>
      <c r="K208" s="18">
        <v>0</v>
      </c>
      <c r="L208" s="19">
        <f t="shared" si="0"/>
        <v>434839.1595302014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193868.70173378079</v>
      </c>
      <c r="I209" s="18">
        <v>0</v>
      </c>
      <c r="J209" s="18">
        <v>0</v>
      </c>
      <c r="K209" s="18">
        <v>0</v>
      </c>
      <c r="L209" s="19">
        <f>SUM(F209:K209)</f>
        <v>193868.70173378079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4637969.3653579419</v>
      </c>
      <c r="G211" s="41">
        <f t="shared" si="1"/>
        <v>2711770.9124161075</v>
      </c>
      <c r="H211" s="41">
        <f t="shared" si="1"/>
        <v>1833455.2887024612</v>
      </c>
      <c r="I211" s="41">
        <f t="shared" si="1"/>
        <v>342426.61129753914</v>
      </c>
      <c r="J211" s="41">
        <f t="shared" si="1"/>
        <v>7802.34</v>
      </c>
      <c r="K211" s="41">
        <f t="shared" si="1"/>
        <v>9880.4955816554811</v>
      </c>
      <c r="L211" s="41">
        <f t="shared" si="1"/>
        <v>9543305.0133557059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1420567.5025055928</v>
      </c>
      <c r="G215" s="18">
        <v>764054.51894854591</v>
      </c>
      <c r="H215" s="18">
        <v>44557.00172259508</v>
      </c>
      <c r="I215" s="18">
        <v>56186.073758389262</v>
      </c>
      <c r="J215" s="18">
        <v>18911.93</v>
      </c>
      <c r="K215" s="18">
        <v>0</v>
      </c>
      <c r="L215" s="19">
        <f>SUM(F215:K215)</f>
        <v>2304277.0269351234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692325.93608501111</v>
      </c>
      <c r="G216" s="18">
        <v>495396.56308724836</v>
      </c>
      <c r="H216" s="18">
        <v>161580.34731543623</v>
      </c>
      <c r="I216" s="18">
        <v>9716.85</v>
      </c>
      <c r="J216" s="18">
        <v>796.58</v>
      </c>
      <c r="K216" s="18">
        <v>0</v>
      </c>
      <c r="L216" s="19">
        <f>SUM(F216:K216)</f>
        <v>1359816.276487696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22367</v>
      </c>
      <c r="G218" s="18">
        <v>3959.2</v>
      </c>
      <c r="H218" s="18">
        <v>3180.9</v>
      </c>
      <c r="I218" s="18">
        <v>4539.3499999999995</v>
      </c>
      <c r="J218" s="18">
        <v>1219</v>
      </c>
      <c r="K218" s="18">
        <v>0</v>
      </c>
      <c r="L218" s="19">
        <f>SUM(F218:K218)</f>
        <v>35265.450000000004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249048.2270246085</v>
      </c>
      <c r="G220" s="18">
        <v>149374.95393736017</v>
      </c>
      <c r="H220" s="18">
        <v>71210.873199105146</v>
      </c>
      <c r="I220" s="18">
        <v>1895.47</v>
      </c>
      <c r="J220" s="18">
        <v>0</v>
      </c>
      <c r="K220" s="18">
        <v>3035.2100223713646</v>
      </c>
      <c r="L220" s="19">
        <f t="shared" ref="L220:L226" si="2">SUM(F220:K220)</f>
        <v>474564.73418344517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34740</v>
      </c>
      <c r="G221" s="18">
        <v>30517.510693512304</v>
      </c>
      <c r="H221" s="18">
        <v>10609.163579418346</v>
      </c>
      <c r="I221" s="18">
        <v>2900</v>
      </c>
      <c r="J221" s="18">
        <v>0</v>
      </c>
      <c r="K221" s="18">
        <v>0</v>
      </c>
      <c r="L221" s="19">
        <f t="shared" si="2"/>
        <v>78766.674272930657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1077.4049217002237</v>
      </c>
      <c r="G222" s="18">
        <v>198.46800894854587</v>
      </c>
      <c r="H222" s="18">
        <v>249422.36885906043</v>
      </c>
      <c r="I222" s="18">
        <v>1674.8459955257272</v>
      </c>
      <c r="J222" s="18">
        <v>0</v>
      </c>
      <c r="K222" s="18">
        <v>1281.5380760626399</v>
      </c>
      <c r="L222" s="19">
        <f t="shared" si="2"/>
        <v>253654.62586129754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206646.2</v>
      </c>
      <c r="G223" s="18">
        <v>106273.12</v>
      </c>
      <c r="H223" s="18">
        <v>8675.55096196868</v>
      </c>
      <c r="I223" s="18">
        <v>1981.88</v>
      </c>
      <c r="J223" s="18">
        <v>1123.28</v>
      </c>
      <c r="K223" s="18">
        <v>1910</v>
      </c>
      <c r="L223" s="19">
        <f t="shared" si="2"/>
        <v>326610.0309619687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164064.29290827739</v>
      </c>
      <c r="G225" s="18">
        <v>79290.413579418338</v>
      </c>
      <c r="H225" s="18">
        <v>297591.42196868011</v>
      </c>
      <c r="I225" s="18">
        <v>98215.282348993307</v>
      </c>
      <c r="J225" s="18">
        <v>125.59</v>
      </c>
      <c r="K225" s="18">
        <v>0</v>
      </c>
      <c r="L225" s="19">
        <f t="shared" si="2"/>
        <v>639287.00080536911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254304.2213422819</v>
      </c>
      <c r="I226" s="18">
        <v>794.25288590604032</v>
      </c>
      <c r="J226" s="18">
        <v>0</v>
      </c>
      <c r="K226" s="18">
        <v>0</v>
      </c>
      <c r="L226" s="19">
        <f t="shared" si="2"/>
        <v>255098.47422818793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111636.47606263983</v>
      </c>
      <c r="I227" s="18">
        <v>0</v>
      </c>
      <c r="J227" s="18">
        <v>0</v>
      </c>
      <c r="K227" s="18">
        <v>0</v>
      </c>
      <c r="L227" s="19">
        <f>SUM(F227:K227)</f>
        <v>111636.47606263983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2790836.56344519</v>
      </c>
      <c r="G229" s="41">
        <f>SUM(G215:G228)</f>
        <v>1629064.7482550335</v>
      </c>
      <c r="H229" s="41">
        <f>SUM(H215:H228)</f>
        <v>1212768.3250111858</v>
      </c>
      <c r="I229" s="41">
        <f>SUM(I215:I228)</f>
        <v>177904.00498881435</v>
      </c>
      <c r="J229" s="41">
        <f>SUM(J215:J228)</f>
        <v>22176.38</v>
      </c>
      <c r="K229" s="41">
        <f t="shared" si="3"/>
        <v>6226.7480984340045</v>
      </c>
      <c r="L229" s="41">
        <f t="shared" si="3"/>
        <v>5838976.7697986579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1379253.1581431767</v>
      </c>
      <c r="G233" s="18">
        <v>727618.50908277405</v>
      </c>
      <c r="H233" s="18">
        <v>202352.18030201344</v>
      </c>
      <c r="I233" s="18">
        <v>41976.1472147651</v>
      </c>
      <c r="J233" s="18">
        <v>395.74</v>
      </c>
      <c r="K233" s="18">
        <v>0</v>
      </c>
      <c r="L233" s="19">
        <f>SUM(F233:K233)</f>
        <v>2351595.7347427299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713428.1197762863</v>
      </c>
      <c r="G234" s="18">
        <v>376048.76503355708</v>
      </c>
      <c r="H234" s="18">
        <v>1006833.7562751678</v>
      </c>
      <c r="I234" s="18">
        <v>3893.7799999999997</v>
      </c>
      <c r="J234" s="18">
        <v>1128.7</v>
      </c>
      <c r="K234" s="18">
        <v>0</v>
      </c>
      <c r="L234" s="19">
        <f>SUM(F234:K234)</f>
        <v>2101333.1210850109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423335.1</v>
      </c>
      <c r="G235" s="18">
        <v>239744.02</v>
      </c>
      <c r="H235" s="18">
        <v>15026.17</v>
      </c>
      <c r="I235" s="18">
        <v>34683.07</v>
      </c>
      <c r="J235" s="18">
        <v>40849.980000000003</v>
      </c>
      <c r="K235" s="18">
        <v>0</v>
      </c>
      <c r="L235" s="19">
        <f>SUM(F235:K235)</f>
        <v>753638.34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90326.6</v>
      </c>
      <c r="G236" s="18">
        <v>14883.85</v>
      </c>
      <c r="H236" s="18">
        <v>6812</v>
      </c>
      <c r="I236" s="18">
        <v>2099.66</v>
      </c>
      <c r="J236" s="18">
        <v>0</v>
      </c>
      <c r="K236" s="18">
        <v>4340.5</v>
      </c>
      <c r="L236" s="19">
        <f>SUM(F236:K236)</f>
        <v>118462.61000000002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201673.27282997765</v>
      </c>
      <c r="G238" s="18">
        <v>109562.07779642058</v>
      </c>
      <c r="H238" s="18">
        <v>90153.10789709173</v>
      </c>
      <c r="I238" s="18">
        <v>1189.3</v>
      </c>
      <c r="J238" s="18">
        <v>0</v>
      </c>
      <c r="K238" s="18">
        <v>3912.5625727069355</v>
      </c>
      <c r="L238" s="19">
        <f t="shared" ref="L238:L244" si="4">SUM(F238:K238)</f>
        <v>406490.32109619689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81877.899999999994</v>
      </c>
      <c r="G239" s="18">
        <v>31477.194753914991</v>
      </c>
      <c r="H239" s="18">
        <v>15944.766633109619</v>
      </c>
      <c r="I239" s="18">
        <v>16070.86</v>
      </c>
      <c r="J239" s="18">
        <v>1407.44</v>
      </c>
      <c r="K239" s="18">
        <v>0</v>
      </c>
      <c r="L239" s="19">
        <f t="shared" si="4"/>
        <v>146778.16138702462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1351.5659955257272</v>
      </c>
      <c r="G240" s="18">
        <v>248.97102908277407</v>
      </c>
      <c r="H240" s="18">
        <v>312891.45379194629</v>
      </c>
      <c r="I240" s="18">
        <v>2101.0344854586133</v>
      </c>
      <c r="J240" s="18">
        <v>0</v>
      </c>
      <c r="K240" s="18">
        <v>1607.6437472035796</v>
      </c>
      <c r="L240" s="19">
        <f t="shared" si="4"/>
        <v>318200.66904921702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374072.77</v>
      </c>
      <c r="G241" s="18">
        <v>176377.86</v>
      </c>
      <c r="H241" s="18">
        <v>9448.7906263982113</v>
      </c>
      <c r="I241" s="18">
        <v>23740.32</v>
      </c>
      <c r="J241" s="18">
        <v>0</v>
      </c>
      <c r="K241" s="18">
        <v>4160</v>
      </c>
      <c r="L241" s="19">
        <f t="shared" si="4"/>
        <v>587799.74062639812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221945.82445190154</v>
      </c>
      <c r="G243" s="18">
        <v>144833.41163310962</v>
      </c>
      <c r="H243" s="18">
        <v>227586.94639821028</v>
      </c>
      <c r="I243" s="18">
        <v>380680.78013422817</v>
      </c>
      <c r="J243" s="18">
        <v>0</v>
      </c>
      <c r="K243" s="18">
        <v>0</v>
      </c>
      <c r="L243" s="19">
        <f t="shared" si="4"/>
        <v>975046.96261744958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369010.95436241612</v>
      </c>
      <c r="I244" s="18">
        <v>996.361879194631</v>
      </c>
      <c r="J244" s="18">
        <v>0</v>
      </c>
      <c r="K244" s="18">
        <v>0</v>
      </c>
      <c r="L244" s="19">
        <f t="shared" si="4"/>
        <v>370007.31624161074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3487264.3111968678</v>
      </c>
      <c r="G247" s="41">
        <f t="shared" si="5"/>
        <v>1820794.6593288593</v>
      </c>
      <c r="H247" s="41">
        <f t="shared" si="5"/>
        <v>2256060.1262863535</v>
      </c>
      <c r="I247" s="41">
        <f t="shared" si="5"/>
        <v>507431.31371364649</v>
      </c>
      <c r="J247" s="41">
        <f t="shared" si="5"/>
        <v>43781.860000000008</v>
      </c>
      <c r="K247" s="41">
        <f t="shared" si="5"/>
        <v>14020.706319910514</v>
      </c>
      <c r="L247" s="41">
        <f t="shared" si="5"/>
        <v>8129352.9768456388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10916070.24</v>
      </c>
      <c r="G257" s="41">
        <f t="shared" si="8"/>
        <v>6161630.3200000003</v>
      </c>
      <c r="H257" s="41">
        <f t="shared" si="8"/>
        <v>5302283.74</v>
      </c>
      <c r="I257" s="41">
        <f t="shared" si="8"/>
        <v>1027761.9299999999</v>
      </c>
      <c r="J257" s="41">
        <f t="shared" si="8"/>
        <v>73760.580000000016</v>
      </c>
      <c r="K257" s="41">
        <f t="shared" si="8"/>
        <v>30127.95</v>
      </c>
      <c r="L257" s="41">
        <f t="shared" si="8"/>
        <v>23511634.760000005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10000</v>
      </c>
      <c r="L263" s="19">
        <f>SUM(F263:K263)</f>
        <v>10000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</v>
      </c>
      <c r="L270" s="41">
        <f t="shared" si="9"/>
        <v>10000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10916070.24</v>
      </c>
      <c r="G271" s="42">
        <f t="shared" si="11"/>
        <v>6161630.3200000003</v>
      </c>
      <c r="H271" s="42">
        <f t="shared" si="11"/>
        <v>5302283.74</v>
      </c>
      <c r="I271" s="42">
        <f t="shared" si="11"/>
        <v>1027761.9299999999</v>
      </c>
      <c r="J271" s="42">
        <f t="shared" si="11"/>
        <v>73760.580000000016</v>
      </c>
      <c r="K271" s="42">
        <f t="shared" si="11"/>
        <v>40127.949999999997</v>
      </c>
      <c r="L271" s="42">
        <f t="shared" si="11"/>
        <v>23521634.760000005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5600</v>
      </c>
      <c r="G276" s="18">
        <v>1071.9100000000001</v>
      </c>
      <c r="H276" s="18">
        <v>12500</v>
      </c>
      <c r="I276" s="18">
        <v>3540.69</v>
      </c>
      <c r="J276" s="18">
        <v>3210.99</v>
      </c>
      <c r="K276" s="18">
        <v>0</v>
      </c>
      <c r="L276" s="19">
        <f>SUM(F276:K276)</f>
        <v>25923.589999999997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242093.86000000002</v>
      </c>
      <c r="G277" s="18">
        <v>147307.72</v>
      </c>
      <c r="H277" s="18">
        <v>1519.21</v>
      </c>
      <c r="I277" s="18">
        <v>61096.569999999992</v>
      </c>
      <c r="J277" s="18">
        <v>3550.73</v>
      </c>
      <c r="K277" s="18">
        <v>0</v>
      </c>
      <c r="L277" s="19">
        <f>SUM(F277:K277)</f>
        <v>455568.09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15689.5</v>
      </c>
      <c r="G279" s="18">
        <v>2948.18</v>
      </c>
      <c r="H279" s="18">
        <v>7995.28</v>
      </c>
      <c r="I279" s="18">
        <v>2596.34</v>
      </c>
      <c r="J279" s="18">
        <v>0</v>
      </c>
      <c r="K279" s="18">
        <v>0</v>
      </c>
      <c r="L279" s="19">
        <f>SUM(F279:K279)</f>
        <v>29229.3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62245.83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62245.83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53740</v>
      </c>
      <c r="G282" s="18">
        <v>3988.3199999999997</v>
      </c>
      <c r="H282" s="18">
        <v>119108.52</v>
      </c>
      <c r="I282" s="18">
        <v>302.98</v>
      </c>
      <c r="J282" s="18">
        <v>0</v>
      </c>
      <c r="K282" s="18">
        <v>0</v>
      </c>
      <c r="L282" s="19">
        <f t="shared" si="12"/>
        <v>177139.82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46456</v>
      </c>
      <c r="G285" s="18">
        <v>3612.08</v>
      </c>
      <c r="H285" s="18">
        <v>661.19</v>
      </c>
      <c r="I285" s="18">
        <v>462.91</v>
      </c>
      <c r="J285" s="18">
        <v>817.5</v>
      </c>
      <c r="K285" s="18">
        <v>26366.959999999999</v>
      </c>
      <c r="L285" s="19">
        <f t="shared" si="12"/>
        <v>78376.640000000014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1020.6</v>
      </c>
      <c r="I287" s="18">
        <v>0</v>
      </c>
      <c r="J287" s="18">
        <v>0</v>
      </c>
      <c r="K287" s="18">
        <v>0</v>
      </c>
      <c r="L287" s="19">
        <f t="shared" si="12"/>
        <v>1020.6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425825.19</v>
      </c>
      <c r="G290" s="42">
        <f t="shared" si="13"/>
        <v>158928.21</v>
      </c>
      <c r="H290" s="42">
        <f t="shared" si="13"/>
        <v>142804.80000000002</v>
      </c>
      <c r="I290" s="42">
        <f t="shared" si="13"/>
        <v>67999.489999999991</v>
      </c>
      <c r="J290" s="42">
        <f t="shared" si="13"/>
        <v>7579.2199999999993</v>
      </c>
      <c r="K290" s="42">
        <f t="shared" si="13"/>
        <v>26366.959999999999</v>
      </c>
      <c r="L290" s="41">
        <f t="shared" si="13"/>
        <v>829503.87000000011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20567.400000000001</v>
      </c>
      <c r="G296" s="18">
        <v>12615.289999999999</v>
      </c>
      <c r="H296" s="18">
        <v>0</v>
      </c>
      <c r="I296" s="18">
        <v>119.04999999999995</v>
      </c>
      <c r="J296" s="18">
        <v>0</v>
      </c>
      <c r="K296" s="18">
        <v>0</v>
      </c>
      <c r="L296" s="19">
        <f>SUM(F296:K296)</f>
        <v>33301.740000000005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166450.06</v>
      </c>
      <c r="G298" s="18">
        <v>24884.51</v>
      </c>
      <c r="H298" s="18">
        <v>14500</v>
      </c>
      <c r="I298" s="18">
        <v>44886.7</v>
      </c>
      <c r="J298" s="18">
        <v>0</v>
      </c>
      <c r="K298" s="18">
        <v>0</v>
      </c>
      <c r="L298" s="19">
        <f>SUM(F298:K298)</f>
        <v>250721.27000000002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1320</v>
      </c>
      <c r="G301" s="18">
        <v>241.17000000000002</v>
      </c>
      <c r="H301" s="18">
        <v>5491.1</v>
      </c>
      <c r="I301" s="18">
        <v>696.13</v>
      </c>
      <c r="J301" s="18">
        <v>0</v>
      </c>
      <c r="K301" s="18">
        <v>0</v>
      </c>
      <c r="L301" s="19">
        <f t="shared" si="14"/>
        <v>7748.4000000000005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8945.9700000000012</v>
      </c>
      <c r="L304" s="19">
        <f t="shared" si="14"/>
        <v>8945.9700000000012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188337.46</v>
      </c>
      <c r="G309" s="42">
        <f t="shared" si="15"/>
        <v>37740.969999999994</v>
      </c>
      <c r="H309" s="42">
        <f t="shared" si="15"/>
        <v>19991.099999999999</v>
      </c>
      <c r="I309" s="42">
        <f t="shared" si="15"/>
        <v>45701.88</v>
      </c>
      <c r="J309" s="42">
        <f t="shared" si="15"/>
        <v>0</v>
      </c>
      <c r="K309" s="42">
        <f t="shared" si="15"/>
        <v>8945.9700000000012</v>
      </c>
      <c r="L309" s="41">
        <f t="shared" si="15"/>
        <v>300717.38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10344.310000000001</v>
      </c>
      <c r="G316" s="18">
        <v>2477.0800000000004</v>
      </c>
      <c r="H316" s="18">
        <v>26286.52</v>
      </c>
      <c r="I316" s="18">
        <v>8240.7200000000012</v>
      </c>
      <c r="J316" s="18">
        <v>23223.57</v>
      </c>
      <c r="K316" s="18">
        <v>240</v>
      </c>
      <c r="L316" s="19">
        <f>SUM(F316:K316)</f>
        <v>70812.200000000012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129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129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2848.64</v>
      </c>
      <c r="I320" s="18">
        <v>0</v>
      </c>
      <c r="J320" s="18">
        <v>0</v>
      </c>
      <c r="K320" s="18">
        <v>0</v>
      </c>
      <c r="L320" s="19">
        <f t="shared" si="16"/>
        <v>2848.64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857.8</v>
      </c>
      <c r="I322" s="18">
        <v>5403.28</v>
      </c>
      <c r="J322" s="18">
        <v>0</v>
      </c>
      <c r="K322" s="18">
        <v>0</v>
      </c>
      <c r="L322" s="19">
        <f t="shared" si="16"/>
        <v>6261.08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2519.92</v>
      </c>
      <c r="L323" s="19">
        <f t="shared" si="16"/>
        <v>2519.92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10344.310000000001</v>
      </c>
      <c r="G328" s="42">
        <f t="shared" si="17"/>
        <v>2477.0800000000004</v>
      </c>
      <c r="H328" s="42">
        <f t="shared" si="17"/>
        <v>30121.96</v>
      </c>
      <c r="I328" s="42">
        <f t="shared" si="17"/>
        <v>13644</v>
      </c>
      <c r="J328" s="42">
        <f t="shared" si="17"/>
        <v>23223.57</v>
      </c>
      <c r="K328" s="42">
        <f t="shared" si="17"/>
        <v>2759.92</v>
      </c>
      <c r="L328" s="41">
        <f t="shared" si="17"/>
        <v>82570.840000000011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624506.96000000008</v>
      </c>
      <c r="G338" s="41">
        <f t="shared" si="20"/>
        <v>199146.25999999998</v>
      </c>
      <c r="H338" s="41">
        <f t="shared" si="20"/>
        <v>192917.86000000002</v>
      </c>
      <c r="I338" s="41">
        <f t="shared" si="20"/>
        <v>127345.37</v>
      </c>
      <c r="J338" s="41">
        <f t="shared" si="20"/>
        <v>30802.79</v>
      </c>
      <c r="K338" s="41">
        <f t="shared" si="20"/>
        <v>38072.85</v>
      </c>
      <c r="L338" s="41">
        <f t="shared" si="20"/>
        <v>1212792.0900000001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624506.96000000008</v>
      </c>
      <c r="G352" s="41">
        <f>G338</f>
        <v>199146.25999999998</v>
      </c>
      <c r="H352" s="41">
        <f>H338</f>
        <v>192917.86000000002</v>
      </c>
      <c r="I352" s="41">
        <f>I338</f>
        <v>127345.37</v>
      </c>
      <c r="J352" s="41">
        <f>J338</f>
        <v>30802.79</v>
      </c>
      <c r="K352" s="47">
        <f>K338+K351</f>
        <v>38072.85</v>
      </c>
      <c r="L352" s="41">
        <f>L338+L351</f>
        <v>1212792.0900000001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312602.64088366897</v>
      </c>
      <c r="I358" s="18">
        <v>17484.679753914992</v>
      </c>
      <c r="J358" s="18">
        <v>0</v>
      </c>
      <c r="K358" s="18">
        <v>0</v>
      </c>
      <c r="L358" s="13">
        <f>SUM(F358:K358)</f>
        <v>330087.32063758397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180007.69038031323</v>
      </c>
      <c r="I359" s="18">
        <v>10068.298881431769</v>
      </c>
      <c r="J359" s="18">
        <v>0</v>
      </c>
      <c r="K359" s="18">
        <v>0</v>
      </c>
      <c r="L359" s="19">
        <f>SUM(F359:K359)</f>
        <v>190075.98926174501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225813.21873601794</v>
      </c>
      <c r="I360" s="18">
        <v>12630.321364653246</v>
      </c>
      <c r="J360" s="18">
        <v>0</v>
      </c>
      <c r="K360" s="18">
        <v>0</v>
      </c>
      <c r="L360" s="19">
        <f>SUM(F360:K360)</f>
        <v>238443.54010067118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718423.55000000016</v>
      </c>
      <c r="I362" s="47">
        <f t="shared" si="22"/>
        <v>40183.300000000003</v>
      </c>
      <c r="J362" s="47">
        <f t="shared" si="22"/>
        <v>0</v>
      </c>
      <c r="K362" s="47">
        <f t="shared" si="22"/>
        <v>0</v>
      </c>
      <c r="L362" s="47">
        <f t="shared" si="22"/>
        <v>758606.85000000009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f>I358</f>
        <v>17484.679753914992</v>
      </c>
      <c r="G368" s="18">
        <f>I359</f>
        <v>10068.298881431769</v>
      </c>
      <c r="H368" s="18">
        <f>I360</f>
        <v>12630.321364653246</v>
      </c>
      <c r="I368" s="56">
        <f>SUM(F368:H368)</f>
        <v>40183.300000000003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17484.679753914992</v>
      </c>
      <c r="G369" s="47">
        <f>SUM(G367:G368)</f>
        <v>10068.298881431769</v>
      </c>
      <c r="H369" s="47">
        <f>SUM(H367:H368)</f>
        <v>12630.321364653246</v>
      </c>
      <c r="I369" s="47">
        <f>SUM(I367:I368)</f>
        <v>40183.300000000003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390736.38</v>
      </c>
      <c r="I380" s="18">
        <v>0</v>
      </c>
      <c r="J380" s="18">
        <v>0</v>
      </c>
      <c r="K380" s="18">
        <v>0</v>
      </c>
      <c r="L380" s="13">
        <f t="shared" si="23"/>
        <v>390736.38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390736.38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390736.38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f>J193</f>
        <v>157103.54999999999</v>
      </c>
      <c r="J400" s="24" t="s">
        <v>289</v>
      </c>
      <c r="K400" s="24" t="s">
        <v>289</v>
      </c>
      <c r="L400" s="56">
        <f t="shared" si="26"/>
        <v>157103.54999999999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157103.54999999999</v>
      </c>
      <c r="J401" s="45" t="s">
        <v>289</v>
      </c>
      <c r="K401" s="45" t="s">
        <v>289</v>
      </c>
      <c r="L401" s="47">
        <f>SUM(L395:L400)</f>
        <v>157103.54999999999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157103.54999999999</v>
      </c>
      <c r="J408" s="24" t="s">
        <v>289</v>
      </c>
      <c r="K408" s="24" t="s">
        <v>289</v>
      </c>
      <c r="L408" s="47">
        <f>L393+L401+L407</f>
        <v>157103.54999999999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f>84838.5</f>
        <v>84838.5</v>
      </c>
      <c r="G426" s="18">
        <f>17222.32+447+320.79+14.08+6235.38+7403.21</f>
        <v>31642.780000000002</v>
      </c>
      <c r="H426" s="18">
        <f>37645.22-6497.52-1114-3253.8+1453.5</f>
        <v>28233.4</v>
      </c>
      <c r="I426" s="18">
        <f>6908.96+2208.41+6497.52+1114</f>
        <v>16728.89</v>
      </c>
      <c r="J426" s="18">
        <v>3253.8</v>
      </c>
      <c r="K426" s="18">
        <v>0</v>
      </c>
      <c r="L426" s="56">
        <f t="shared" si="29"/>
        <v>164697.37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84838.5</v>
      </c>
      <c r="G427" s="47">
        <f t="shared" si="30"/>
        <v>31642.780000000002</v>
      </c>
      <c r="H427" s="47">
        <f t="shared" si="30"/>
        <v>28233.4</v>
      </c>
      <c r="I427" s="47">
        <f t="shared" si="30"/>
        <v>16728.89</v>
      </c>
      <c r="J427" s="47">
        <f t="shared" si="30"/>
        <v>3253.8</v>
      </c>
      <c r="K427" s="47">
        <f t="shared" si="30"/>
        <v>0</v>
      </c>
      <c r="L427" s="47">
        <f t="shared" si="30"/>
        <v>164697.37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84838.5</v>
      </c>
      <c r="G434" s="47">
        <f t="shared" si="32"/>
        <v>31642.780000000002</v>
      </c>
      <c r="H434" s="47">
        <f t="shared" si="32"/>
        <v>28233.4</v>
      </c>
      <c r="I434" s="47">
        <f t="shared" si="32"/>
        <v>16728.89</v>
      </c>
      <c r="J434" s="47">
        <f t="shared" si="32"/>
        <v>3253.8</v>
      </c>
      <c r="K434" s="47">
        <f t="shared" si="32"/>
        <v>0</v>
      </c>
      <c r="L434" s="47">
        <f t="shared" si="32"/>
        <v>164697.37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462634.13</v>
      </c>
      <c r="I442" s="56">
        <f t="shared" si="33"/>
        <v>462634.13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2663.34</v>
      </c>
      <c r="I443" s="56">
        <f t="shared" si="33"/>
        <v>2663.34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465297.47000000003</v>
      </c>
      <c r="I446" s="13">
        <f>SUM(I439:I445)</f>
        <v>465297.47000000003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342794.62</v>
      </c>
      <c r="I448" s="56">
        <f>SUM(F448:H448)</f>
        <v>342794.62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1101.46</v>
      </c>
      <c r="I450" s="56">
        <f>SUM(F450:H450)</f>
        <v>1101.46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343896.08</v>
      </c>
      <c r="I452" s="71">
        <f>SUM(I448:I451)</f>
        <v>343896.08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v>0</v>
      </c>
      <c r="H459" s="18">
        <f>128995.21-7593.82</f>
        <v>121401.39000000001</v>
      </c>
      <c r="I459" s="56">
        <f t="shared" si="34"/>
        <v>121401.39000000001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0</v>
      </c>
      <c r="G460" s="82">
        <f>SUM(G454:G459)</f>
        <v>0</v>
      </c>
      <c r="H460" s="82">
        <f>SUM(H454:H459)</f>
        <v>121401.39000000001</v>
      </c>
      <c r="I460" s="82">
        <f>SUM(I454:I459)</f>
        <v>121401.39000000001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0</v>
      </c>
      <c r="G461" s="42">
        <f>G452+G460</f>
        <v>0</v>
      </c>
      <c r="H461" s="42">
        <f>H452+H460</f>
        <v>465297.47000000003</v>
      </c>
      <c r="I461" s="42">
        <f>I452+I460</f>
        <v>465297.47000000003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891</v>
      </c>
      <c r="B465" s="104">
        <v>19</v>
      </c>
      <c r="C465" s="110">
        <v>1</v>
      </c>
      <c r="D465" s="2" t="s">
        <v>433</v>
      </c>
      <c r="E465" s="110"/>
      <c r="F465" s="18"/>
      <c r="G465" s="18">
        <v>14148.35</v>
      </c>
      <c r="H465" s="18">
        <v>61722.03</v>
      </c>
      <c r="I465" s="18">
        <v>244509.84</v>
      </c>
      <c r="J465" s="18">
        <v>128995.21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F193</f>
        <v>23521634.759999998</v>
      </c>
      <c r="G468" s="18">
        <f t="shared" ref="G468:J468" si="35">G193</f>
        <v>782198.99</v>
      </c>
      <c r="H468" s="18">
        <f t="shared" si="35"/>
        <v>1218642.49</v>
      </c>
      <c r="I468" s="18">
        <f t="shared" si="35"/>
        <v>730400</v>
      </c>
      <c r="J468" s="18">
        <f t="shared" si="35"/>
        <v>157103.54999999999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23521634.759999998</v>
      </c>
      <c r="G470" s="53">
        <f>SUM(G468:G469)</f>
        <v>782198.99</v>
      </c>
      <c r="H470" s="53">
        <f>SUM(H468:H469)</f>
        <v>1218642.49</v>
      </c>
      <c r="I470" s="53">
        <f>SUM(I468:I469)</f>
        <v>730400</v>
      </c>
      <c r="J470" s="53">
        <f>SUM(J468:J469)</f>
        <v>157103.54999999999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L271</f>
        <v>23521634.760000005</v>
      </c>
      <c r="G472" s="18">
        <f>L362</f>
        <v>758606.85000000009</v>
      </c>
      <c r="H472" s="18">
        <f>L352</f>
        <v>1212792.0900000001</v>
      </c>
      <c r="I472" s="18">
        <f>L382</f>
        <v>390736.38</v>
      </c>
      <c r="J472" s="18">
        <f>L434</f>
        <v>164697.37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23521634.760000005</v>
      </c>
      <c r="G474" s="53">
        <f>SUM(G472:G473)</f>
        <v>758606.85000000009</v>
      </c>
      <c r="H474" s="53">
        <f>SUM(H472:H473)</f>
        <v>1212792.0900000001</v>
      </c>
      <c r="I474" s="53">
        <f>SUM(I472:I473)</f>
        <v>390736.38</v>
      </c>
      <c r="J474" s="53">
        <f>SUM(J472:J473)</f>
        <v>164697.37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0</v>
      </c>
      <c r="G476" s="53">
        <f>(G465+G470)- G474</f>
        <v>37740.489999999874</v>
      </c>
      <c r="H476" s="53">
        <f>(H465+H470)- H474</f>
        <v>67572.429999999935</v>
      </c>
      <c r="I476" s="53">
        <f>(I465+I470)- I474</f>
        <v>584173.46</v>
      </c>
      <c r="J476" s="53">
        <f>(J465+J470)- J474</f>
        <v>121401.39000000001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1</v>
      </c>
      <c r="G490" s="152">
        <v>2</v>
      </c>
      <c r="H490" s="152">
        <v>3</v>
      </c>
      <c r="I490" s="152">
        <v>4</v>
      </c>
      <c r="J490" s="152"/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911</v>
      </c>
      <c r="G491" s="153" t="s">
        <v>911</v>
      </c>
      <c r="H491" s="153" t="s">
        <v>912</v>
      </c>
      <c r="I491" s="153" t="s">
        <v>913</v>
      </c>
      <c r="J491" s="152"/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911</v>
      </c>
      <c r="G492" s="153" t="s">
        <v>911</v>
      </c>
      <c r="H492" s="153" t="s">
        <v>914</v>
      </c>
      <c r="I492" s="153" t="s">
        <v>915</v>
      </c>
      <c r="J492" s="152"/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5300000</v>
      </c>
      <c r="G493" s="18">
        <v>310000</v>
      </c>
      <c r="H493" s="18">
        <v>1338545</v>
      </c>
      <c r="I493" s="18">
        <v>18953000</v>
      </c>
      <c r="J493" s="18">
        <v>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5.63</v>
      </c>
      <c r="G494" s="18">
        <v>5.2</v>
      </c>
      <c r="H494" s="18">
        <v>3.68</v>
      </c>
      <c r="I494" s="18">
        <v>3.73</v>
      </c>
      <c r="J494" s="18">
        <v>0</v>
      </c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1060000</v>
      </c>
      <c r="G495" s="18">
        <v>105000</v>
      </c>
      <c r="H495" s="18">
        <v>800000</v>
      </c>
      <c r="I495" s="18">
        <v>14984073</v>
      </c>
      <c r="J495" s="18">
        <v>0</v>
      </c>
      <c r="K495" s="53">
        <f>SUM(F495:J495)</f>
        <v>16949073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265000</v>
      </c>
      <c r="G497" s="18">
        <v>15000</v>
      </c>
      <c r="H497" s="18">
        <v>135000</v>
      </c>
      <c r="I497" s="18">
        <v>1268130</v>
      </c>
      <c r="J497" s="18">
        <v>0</v>
      </c>
      <c r="K497" s="53">
        <f t="shared" si="36"/>
        <v>1683130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f>F495-F497</f>
        <v>795000</v>
      </c>
      <c r="G498" s="202">
        <f>G495-G497</f>
        <v>90000</v>
      </c>
      <c r="H498" s="202">
        <f>H495-H497</f>
        <v>665000</v>
      </c>
      <c r="I498" s="202">
        <f>I495-I497</f>
        <v>13715943</v>
      </c>
      <c r="J498" s="202">
        <f>J493</f>
        <v>0</v>
      </c>
      <c r="K498" s="203">
        <f t="shared" si="36"/>
        <v>15265943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795000</v>
      </c>
      <c r="G500" s="42">
        <f>SUM(G498:G499)</f>
        <v>90000</v>
      </c>
      <c r="H500" s="42">
        <f>SUM(H498:H499)</f>
        <v>665000</v>
      </c>
      <c r="I500" s="42">
        <f>SUM(I498:I499)</f>
        <v>13715943</v>
      </c>
      <c r="J500" s="42">
        <f>SUM(J498:J499)</f>
        <v>0</v>
      </c>
      <c r="K500" s="42">
        <f t="shared" si="36"/>
        <v>15265943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265000</v>
      </c>
      <c r="G501" s="202">
        <v>15000</v>
      </c>
      <c r="H501" s="202">
        <v>135000</v>
      </c>
      <c r="I501" s="202">
        <v>1168431</v>
      </c>
      <c r="J501" s="202">
        <v>0</v>
      </c>
      <c r="K501" s="203">
        <f t="shared" si="36"/>
        <v>1583431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38094</v>
      </c>
      <c r="G502" s="18">
        <v>4331</v>
      </c>
      <c r="H502" s="18">
        <v>31369</v>
      </c>
      <c r="I502" s="18">
        <v>26714705</v>
      </c>
      <c r="J502" s="18">
        <v>0</v>
      </c>
      <c r="K502" s="53">
        <f t="shared" si="36"/>
        <v>26788499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303094</v>
      </c>
      <c r="G503" s="42">
        <f>SUM(G501:G502)</f>
        <v>19331</v>
      </c>
      <c r="H503" s="42">
        <f>SUM(H501:H502)</f>
        <v>166369</v>
      </c>
      <c r="I503" s="42">
        <f>SUM(I501:I502)</f>
        <v>27883136</v>
      </c>
      <c r="J503" s="42">
        <f>SUM(J501:J502)</f>
        <v>0</v>
      </c>
      <c r="K503" s="42">
        <f t="shared" si="36"/>
        <v>28371930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1426436.2941387026</v>
      </c>
      <c r="G521" s="18">
        <v>972840.25187919475</v>
      </c>
      <c r="H521" s="18">
        <v>318331.48524608498</v>
      </c>
      <c r="I521" s="18">
        <v>76777.939999999988</v>
      </c>
      <c r="J521" s="18">
        <v>6842.27</v>
      </c>
      <c r="K521" s="18">
        <v>0</v>
      </c>
      <c r="L521" s="87">
        <f>SUM(F521:K521)</f>
        <v>2801228.2412639824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711513.33608501113</v>
      </c>
      <c r="G522" s="18">
        <v>509562.87308724836</v>
      </c>
      <c r="H522" s="18">
        <v>152222.26111856825</v>
      </c>
      <c r="I522" s="18">
        <v>9226.989999999998</v>
      </c>
      <c r="J522" s="18">
        <v>796.58</v>
      </c>
      <c r="K522" s="18">
        <v>0</v>
      </c>
      <c r="L522" s="87">
        <f>SUM(F522:K522)</f>
        <v>1383322.0402908279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713428.11977628642</v>
      </c>
      <c r="G523" s="18">
        <v>374470.02503355703</v>
      </c>
      <c r="H523" s="18">
        <v>1019040.0536353467</v>
      </c>
      <c r="I523" s="18">
        <v>3893.7799999999997</v>
      </c>
      <c r="J523" s="18">
        <v>1128.7</v>
      </c>
      <c r="K523" s="18">
        <v>0</v>
      </c>
      <c r="L523" s="87">
        <f>SUM(F523:K523)</f>
        <v>2111960.6784451902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2851377.75</v>
      </c>
      <c r="G524" s="107">
        <f t="shared" ref="G524:L524" si="37">SUM(G521:G523)</f>
        <v>1856873.1500000001</v>
      </c>
      <c r="H524" s="107">
        <f t="shared" si="37"/>
        <v>1489593.7999999998</v>
      </c>
      <c r="I524" s="107">
        <f t="shared" si="37"/>
        <v>89898.709999999992</v>
      </c>
      <c r="J524" s="107">
        <f t="shared" si="37"/>
        <v>8767.5500000000011</v>
      </c>
      <c r="K524" s="107">
        <f t="shared" si="37"/>
        <v>0</v>
      </c>
      <c r="L524" s="88">
        <f t="shared" si="37"/>
        <v>6296510.9600000009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303517.83</v>
      </c>
      <c r="G526" s="18">
        <v>103082.44999999998</v>
      </c>
      <c r="H526" s="18">
        <v>143752.43167785235</v>
      </c>
      <c r="I526" s="18">
        <v>219742.53</v>
      </c>
      <c r="J526" s="18">
        <v>0</v>
      </c>
      <c r="K526" s="18">
        <v>5270.9674049217001</v>
      </c>
      <c r="L526" s="87">
        <f>SUM(F526:K526)</f>
        <v>775366.209082774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251763.56</v>
      </c>
      <c r="G527" s="18">
        <v>87519.939999999988</v>
      </c>
      <c r="H527" s="18">
        <v>33398.524899328862</v>
      </c>
      <c r="I527" s="18">
        <v>45728.102999999996</v>
      </c>
      <c r="J527" s="18">
        <v>0</v>
      </c>
      <c r="K527" s="18">
        <v>3035.2100223713646</v>
      </c>
      <c r="L527" s="87">
        <f>SUM(F527:K527)</f>
        <v>421445.33792170027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10344.310000000001</v>
      </c>
      <c r="G528" s="18">
        <v>2486.8300000000004</v>
      </c>
      <c r="H528" s="18">
        <v>39939.293422818795</v>
      </c>
      <c r="I528" s="18">
        <v>8284.6520000000019</v>
      </c>
      <c r="J528" s="18">
        <v>23223.57</v>
      </c>
      <c r="K528" s="18">
        <v>4047.5625727069355</v>
      </c>
      <c r="L528" s="87">
        <f>SUM(F528:K528)</f>
        <v>88326.217995525731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565625.70000000007</v>
      </c>
      <c r="G529" s="88">
        <f t="shared" ref="G529:L529" si="38">SUM(G526:G528)</f>
        <v>193089.21999999994</v>
      </c>
      <c r="H529" s="88">
        <f t="shared" si="38"/>
        <v>217090.25</v>
      </c>
      <c r="I529" s="88">
        <f t="shared" si="38"/>
        <v>273755.28499999997</v>
      </c>
      <c r="J529" s="88">
        <f t="shared" si="38"/>
        <v>23223.57</v>
      </c>
      <c r="K529" s="88">
        <f t="shared" si="38"/>
        <v>12353.740000000002</v>
      </c>
      <c r="L529" s="88">
        <f t="shared" si="38"/>
        <v>1285137.7650000001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102631.67010434734</v>
      </c>
      <c r="G531" s="18">
        <v>31602.683846726832</v>
      </c>
      <c r="H531" s="18">
        <v>661.19</v>
      </c>
      <c r="I531" s="18">
        <v>462.91</v>
      </c>
      <c r="J531" s="18">
        <v>817.5</v>
      </c>
      <c r="K531" s="18">
        <v>26366.959999999999</v>
      </c>
      <c r="L531" s="87">
        <f>SUM(F531:K531)</f>
        <v>162542.91395107418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30699.609998390246</v>
      </c>
      <c r="G532" s="18">
        <v>14111.51733076301</v>
      </c>
      <c r="H532" s="18">
        <v>0</v>
      </c>
      <c r="I532" s="18">
        <v>0</v>
      </c>
      <c r="J532" s="18">
        <v>0</v>
      </c>
      <c r="K532" s="18">
        <v>8945.9700000000012</v>
      </c>
      <c r="L532" s="87">
        <f>SUM(F532:K532)</f>
        <v>53757.097329153257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38136.025962266336</v>
      </c>
      <c r="G533" s="18">
        <v>18816.057490823241</v>
      </c>
      <c r="H533" s="18">
        <v>857.8</v>
      </c>
      <c r="I533" s="18">
        <v>5403.28</v>
      </c>
      <c r="J533" s="18">
        <v>0</v>
      </c>
      <c r="K533" s="18">
        <v>2519.92</v>
      </c>
      <c r="L533" s="87">
        <f>SUM(F533:K533)</f>
        <v>65733.083453089581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171467.30606500394</v>
      </c>
      <c r="G534" s="88">
        <f t="shared" ref="G534:L534" si="39">SUM(G531:G533)</f>
        <v>64530.258668313079</v>
      </c>
      <c r="H534" s="88">
        <f t="shared" si="39"/>
        <v>1518.99</v>
      </c>
      <c r="I534" s="88">
        <f t="shared" si="39"/>
        <v>5866.19</v>
      </c>
      <c r="J534" s="88">
        <f t="shared" si="39"/>
        <v>817.5</v>
      </c>
      <c r="K534" s="88">
        <f t="shared" si="39"/>
        <v>37832.85</v>
      </c>
      <c r="L534" s="88">
        <f t="shared" si="39"/>
        <v>282033.09473331703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13765.182718120806</v>
      </c>
      <c r="I536" s="18">
        <v>0</v>
      </c>
      <c r="J536" s="18">
        <v>0</v>
      </c>
      <c r="K536" s="18">
        <v>0</v>
      </c>
      <c r="L536" s="87">
        <f>SUM(F536:K536)</f>
        <v>13765.182718120806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7926.4805369127525</v>
      </c>
      <c r="I537" s="18">
        <v>0</v>
      </c>
      <c r="J537" s="18">
        <v>0</v>
      </c>
      <c r="K537" s="18">
        <v>0</v>
      </c>
      <c r="L537" s="87">
        <f>SUM(F537:K537)</f>
        <v>7926.4805369127525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9943.4867449664434</v>
      </c>
      <c r="I538" s="18">
        <v>0</v>
      </c>
      <c r="J538" s="18">
        <v>0</v>
      </c>
      <c r="K538" s="18">
        <v>0</v>
      </c>
      <c r="L538" s="87">
        <f>SUM(F538:K538)</f>
        <v>9943.4867449664434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31635.15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31635.15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234142.37647651008</v>
      </c>
      <c r="I541" s="18">
        <v>0</v>
      </c>
      <c r="J541" s="18">
        <v>0</v>
      </c>
      <c r="K541" s="18">
        <v>0</v>
      </c>
      <c r="L541" s="87">
        <f>SUM(F541:K541)</f>
        <v>234142.37647651008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134827.48671140941</v>
      </c>
      <c r="I542" s="18">
        <v>0</v>
      </c>
      <c r="J542" s="18">
        <v>0</v>
      </c>
      <c r="K542" s="18">
        <v>0</v>
      </c>
      <c r="L542" s="87">
        <f>SUM(F542:K542)</f>
        <v>134827.48671140941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169136.26681208055</v>
      </c>
      <c r="I543" s="18">
        <v>0</v>
      </c>
      <c r="J543" s="18">
        <v>0</v>
      </c>
      <c r="K543" s="18">
        <v>0</v>
      </c>
      <c r="L543" s="87">
        <f>SUM(F543:K543)</f>
        <v>169136.26681208055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538106.13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538106.13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3588470.756065004</v>
      </c>
      <c r="G545" s="88">
        <f t="shared" ref="G545:L545" si="42">G524+G529+G534+G539+G544</f>
        <v>2114492.6286683134</v>
      </c>
      <c r="H545" s="88">
        <f t="shared" si="42"/>
        <v>2277944.3199999998</v>
      </c>
      <c r="I545" s="88">
        <f t="shared" si="42"/>
        <v>369520.185</v>
      </c>
      <c r="J545" s="88">
        <f t="shared" si="42"/>
        <v>32808.620000000003</v>
      </c>
      <c r="K545" s="88">
        <f t="shared" si="42"/>
        <v>50186.59</v>
      </c>
      <c r="L545" s="88">
        <f t="shared" si="42"/>
        <v>8433423.0997333191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2801228.2412639824</v>
      </c>
      <c r="G549" s="86">
        <f>L526</f>
        <v>775366.209082774</v>
      </c>
      <c r="H549" s="86">
        <f>L531</f>
        <v>162542.91395107418</v>
      </c>
      <c r="I549" s="86">
        <f>L536</f>
        <v>13765.182718120806</v>
      </c>
      <c r="J549" s="86">
        <f>L541</f>
        <v>234142.37647651008</v>
      </c>
      <c r="K549" s="86">
        <f>SUM(F549:J549)</f>
        <v>3987044.9234924614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1383322.0402908279</v>
      </c>
      <c r="G550" s="86">
        <f>L527</f>
        <v>421445.33792170027</v>
      </c>
      <c r="H550" s="86">
        <f>L532</f>
        <v>53757.097329153257</v>
      </c>
      <c r="I550" s="86">
        <f>L537</f>
        <v>7926.4805369127525</v>
      </c>
      <c r="J550" s="86">
        <f>L542</f>
        <v>134827.48671140941</v>
      </c>
      <c r="K550" s="86">
        <f>SUM(F550:J550)</f>
        <v>2001278.4427900035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2111960.6784451902</v>
      </c>
      <c r="G551" s="86">
        <f>L528</f>
        <v>88326.217995525731</v>
      </c>
      <c r="H551" s="86">
        <f>L533</f>
        <v>65733.083453089581</v>
      </c>
      <c r="I551" s="86">
        <f>L538</f>
        <v>9943.4867449664434</v>
      </c>
      <c r="J551" s="86">
        <f>L543</f>
        <v>169136.26681208055</v>
      </c>
      <c r="K551" s="86">
        <f>SUM(F551:J551)</f>
        <v>2445099.7334508523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3">SUM(F549:F551)</f>
        <v>6296510.9600000009</v>
      </c>
      <c r="G552" s="88">
        <f t="shared" si="43"/>
        <v>1285137.7650000001</v>
      </c>
      <c r="H552" s="88">
        <f t="shared" si="43"/>
        <v>282033.09473331703</v>
      </c>
      <c r="I552" s="88">
        <f t="shared" si="43"/>
        <v>31635.15</v>
      </c>
      <c r="J552" s="88">
        <f t="shared" si="43"/>
        <v>538106.13</v>
      </c>
      <c r="K552" s="88">
        <f t="shared" si="43"/>
        <v>8433423.0997333173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1367418.2941387026</v>
      </c>
      <c r="G557" s="18">
        <v>940672.0718791947</v>
      </c>
      <c r="H557" s="18">
        <v>305831.48524608498</v>
      </c>
      <c r="I557" s="18">
        <v>73037.25</v>
      </c>
      <c r="J557" s="18">
        <v>3631.28</v>
      </c>
      <c r="K557" s="18">
        <v>0</v>
      </c>
      <c r="L557" s="87">
        <f>SUM(F557:K557)</f>
        <v>2690590.381263982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674725.33608501113</v>
      </c>
      <c r="G558" s="18">
        <v>481211.66308724834</v>
      </c>
      <c r="H558" s="18">
        <v>152222.26111856825</v>
      </c>
      <c r="I558" s="18">
        <v>9226.989999999998</v>
      </c>
      <c r="J558" s="18">
        <v>796.58</v>
      </c>
      <c r="K558" s="18">
        <v>0</v>
      </c>
      <c r="L558" s="87">
        <f>SUM(F558:K558)</f>
        <v>1318182.8302908279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662858.11977628642</v>
      </c>
      <c r="G559" s="18">
        <v>346673.28503355704</v>
      </c>
      <c r="H559" s="18">
        <v>1019040.0536353467</v>
      </c>
      <c r="I559" s="18">
        <v>2971.18</v>
      </c>
      <c r="J559" s="18">
        <v>1128.7</v>
      </c>
      <c r="K559" s="18">
        <v>0</v>
      </c>
      <c r="L559" s="87">
        <f>SUM(F559:K559)</f>
        <v>2032671.3384451901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4">SUM(F557:F559)</f>
        <v>2705001.75</v>
      </c>
      <c r="G560" s="107">
        <f t="shared" si="44"/>
        <v>1768557.02</v>
      </c>
      <c r="H560" s="107">
        <f t="shared" si="44"/>
        <v>1477093.7999999998</v>
      </c>
      <c r="I560" s="107">
        <f t="shared" si="44"/>
        <v>85235.419999999984</v>
      </c>
      <c r="J560" s="107">
        <f t="shared" si="44"/>
        <v>5556.56</v>
      </c>
      <c r="K560" s="107">
        <f t="shared" si="44"/>
        <v>0</v>
      </c>
      <c r="L560" s="88">
        <f t="shared" si="44"/>
        <v>6041444.5499999998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53418</v>
      </c>
      <c r="G562" s="18">
        <v>31096.270000000004</v>
      </c>
      <c r="H562" s="18">
        <v>0</v>
      </c>
      <c r="I562" s="18">
        <v>200</v>
      </c>
      <c r="J562" s="18">
        <v>0</v>
      </c>
      <c r="K562" s="18">
        <v>0</v>
      </c>
      <c r="L562" s="87">
        <f>SUM(F562:K562)</f>
        <v>84714.27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36788</v>
      </c>
      <c r="G563" s="18">
        <v>28351.21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65139.21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50570</v>
      </c>
      <c r="G564" s="18">
        <v>27796.74</v>
      </c>
      <c r="H564" s="18">
        <v>0</v>
      </c>
      <c r="I564" s="18">
        <v>922.6</v>
      </c>
      <c r="J564" s="18">
        <v>0</v>
      </c>
      <c r="K564" s="18">
        <v>0</v>
      </c>
      <c r="L564" s="87">
        <f>SUM(F564:K564)</f>
        <v>79289.340000000011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5">SUM(F562:F564)</f>
        <v>140776</v>
      </c>
      <c r="G565" s="88">
        <f t="shared" si="45"/>
        <v>87244.22</v>
      </c>
      <c r="H565" s="88">
        <f t="shared" si="45"/>
        <v>0</v>
      </c>
      <c r="I565" s="88">
        <f t="shared" si="45"/>
        <v>1122.5999999999999</v>
      </c>
      <c r="J565" s="88">
        <f t="shared" si="45"/>
        <v>0</v>
      </c>
      <c r="K565" s="88">
        <f t="shared" si="45"/>
        <v>0</v>
      </c>
      <c r="L565" s="88">
        <f t="shared" si="45"/>
        <v>229142.82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850</v>
      </c>
      <c r="I567" s="18">
        <v>0</v>
      </c>
      <c r="J567" s="18">
        <v>0</v>
      </c>
      <c r="K567" s="18">
        <v>0</v>
      </c>
      <c r="L567" s="87">
        <f>SUM(F567:K567)</f>
        <v>850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4897.71</v>
      </c>
      <c r="I568" s="18">
        <v>28.91</v>
      </c>
      <c r="J568" s="18">
        <v>0</v>
      </c>
      <c r="K568" s="18">
        <v>0</v>
      </c>
      <c r="L568" s="87">
        <f>SUM(F568:K568)</f>
        <v>4926.62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5747.71</v>
      </c>
      <c r="I570" s="191">
        <f t="shared" si="46"/>
        <v>28.91</v>
      </c>
      <c r="J570" s="191">
        <f t="shared" si="46"/>
        <v>0</v>
      </c>
      <c r="K570" s="191">
        <f t="shared" si="46"/>
        <v>0</v>
      </c>
      <c r="L570" s="191">
        <f t="shared" si="46"/>
        <v>5776.62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2845777.75</v>
      </c>
      <c r="G571" s="88">
        <f t="shared" ref="G571:L571" si="47">G560+G565+G570</f>
        <v>1855801.24</v>
      </c>
      <c r="H571" s="88">
        <f t="shared" si="47"/>
        <v>1482841.5099999998</v>
      </c>
      <c r="I571" s="88">
        <f t="shared" si="47"/>
        <v>86386.93</v>
      </c>
      <c r="J571" s="88">
        <f t="shared" si="47"/>
        <v>5556.56</v>
      </c>
      <c r="K571" s="88">
        <f t="shared" si="47"/>
        <v>0</v>
      </c>
      <c r="L571" s="88">
        <f t="shared" si="47"/>
        <v>6276363.9900000002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24171.18</v>
      </c>
      <c r="G579" s="18">
        <v>0</v>
      </c>
      <c r="H579" s="18">
        <v>2250</v>
      </c>
      <c r="I579" s="86">
        <f t="shared" si="48"/>
        <v>26421.18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>
        <v>0</v>
      </c>
      <c r="I581" s="86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240626.61013422819</v>
      </c>
      <c r="G582" s="18">
        <v>129468.41879194631</v>
      </c>
      <c r="H582" s="18">
        <v>985978.95107382548</v>
      </c>
      <c r="I582" s="86">
        <f t="shared" si="48"/>
        <v>1356073.98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8805.3799999999992</v>
      </c>
      <c r="I584" s="86">
        <f t="shared" si="48"/>
        <v>8805.3799999999992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200696.7830536913</v>
      </c>
      <c r="I591" s="18">
        <v>115568.32751677853</v>
      </c>
      <c r="J591" s="18">
        <v>144976.3394295302</v>
      </c>
      <c r="K591" s="103">
        <f t="shared" ref="K591:K597" si="49">SUM(H591:J591)</f>
        <v>461241.45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234142.37647651008</v>
      </c>
      <c r="I592" s="18">
        <v>134827.48671140941</v>
      </c>
      <c r="J592" s="18">
        <v>169136.26681208055</v>
      </c>
      <c r="K592" s="103">
        <f t="shared" si="49"/>
        <v>538106.13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26904</v>
      </c>
      <c r="K593" s="103">
        <f t="shared" si="49"/>
        <v>26904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4676.8500000000004</v>
      </c>
      <c r="J594" s="18">
        <v>28990.71</v>
      </c>
      <c r="K594" s="103">
        <f t="shared" si="49"/>
        <v>33667.56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0</v>
      </c>
      <c r="I595" s="18">
        <v>25.81</v>
      </c>
      <c r="J595" s="18">
        <v>0</v>
      </c>
      <c r="K595" s="103">
        <f t="shared" si="49"/>
        <v>25.81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434839.15953020134</v>
      </c>
      <c r="I598" s="107">
        <f>SUM(I591:I597)</f>
        <v>255098.47422818796</v>
      </c>
      <c r="J598" s="107">
        <f>SUM(J591:J597)</f>
        <v>370007.31624161074</v>
      </c>
      <c r="K598" s="107">
        <f>SUM(K591:K597)</f>
        <v>1059944.9500000002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f>J211+J290</f>
        <v>15381.56</v>
      </c>
      <c r="I604" s="18">
        <f>J229+J309</f>
        <v>22176.38</v>
      </c>
      <c r="J604" s="18">
        <f>J247+J328</f>
        <v>67005.430000000008</v>
      </c>
      <c r="K604" s="103">
        <f>SUM(H604:J604)</f>
        <v>104563.37000000001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15381.56</v>
      </c>
      <c r="I605" s="107">
        <f>SUM(I602:I604)</f>
        <v>22176.38</v>
      </c>
      <c r="J605" s="107">
        <f>SUM(J602:J604)</f>
        <v>67005.430000000008</v>
      </c>
      <c r="K605" s="107">
        <f>SUM(K602:K604)</f>
        <v>104563.37000000001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66262.578355704696</v>
      </c>
      <c r="G611" s="18">
        <v>13084.427382550335</v>
      </c>
      <c r="H611" s="18">
        <v>2964.7200000000003</v>
      </c>
      <c r="I611" s="18">
        <v>3862.3750000000005</v>
      </c>
      <c r="J611" s="18">
        <v>0</v>
      </c>
      <c r="K611" s="18">
        <v>0</v>
      </c>
      <c r="L611" s="87">
        <f>SUM(F611:K611)</f>
        <v>86174.100738255031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29681.66979865772</v>
      </c>
      <c r="G612" s="18">
        <v>5912.2035570469798</v>
      </c>
      <c r="H612" s="18">
        <v>2441.1</v>
      </c>
      <c r="I612" s="18">
        <v>1882.21</v>
      </c>
      <c r="J612" s="18">
        <v>0</v>
      </c>
      <c r="K612" s="18">
        <v>0</v>
      </c>
      <c r="L612" s="87">
        <f>SUM(F612:K612)</f>
        <v>39917.183355704699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35578.701845637588</v>
      </c>
      <c r="G613" s="18">
        <v>7114.1090604026849</v>
      </c>
      <c r="H613" s="18">
        <v>0</v>
      </c>
      <c r="I613" s="18">
        <v>1487.895</v>
      </c>
      <c r="J613" s="18">
        <v>0</v>
      </c>
      <c r="K613" s="18">
        <v>0</v>
      </c>
      <c r="L613" s="87">
        <f>SUM(F613:K613)</f>
        <v>44180.705906040268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50">SUM(F611:F613)</f>
        <v>131522.95000000001</v>
      </c>
      <c r="G614" s="107">
        <f t="shared" si="50"/>
        <v>26110.739999999998</v>
      </c>
      <c r="H614" s="107">
        <f t="shared" si="50"/>
        <v>5405.82</v>
      </c>
      <c r="I614" s="107">
        <f t="shared" si="50"/>
        <v>7232.4800000000014</v>
      </c>
      <c r="J614" s="107">
        <f t="shared" si="50"/>
        <v>0</v>
      </c>
      <c r="K614" s="107">
        <f t="shared" si="50"/>
        <v>0</v>
      </c>
      <c r="L614" s="88">
        <f t="shared" si="50"/>
        <v>170271.99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450745.67000000004</v>
      </c>
      <c r="H617" s="108">
        <f>SUM(F52)</f>
        <v>450745.67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78579.5</v>
      </c>
      <c r="H618" s="108">
        <f>SUM(G52)</f>
        <v>78579.5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305945.11</v>
      </c>
      <c r="H619" s="108">
        <f>SUM(H52)</f>
        <v>305945.11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1055004.52</v>
      </c>
      <c r="H620" s="108">
        <f>SUM(I52)</f>
        <v>1055004.52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465297.47000000003</v>
      </c>
      <c r="H621" s="108">
        <f>SUM(J52)</f>
        <v>465297.47000000003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1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37740.49</v>
      </c>
      <c r="H623" s="108">
        <f>G476</f>
        <v>37740.489999999874</v>
      </c>
      <c r="I623" s="120" t="s">
        <v>102</v>
      </c>
      <c r="J623" s="108">
        <f t="shared" si="51"/>
        <v>1.2369127944111824E-10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67572.429999999993</v>
      </c>
      <c r="H624" s="108">
        <f>H476</f>
        <v>67572.429999999935</v>
      </c>
      <c r="I624" s="120" t="s">
        <v>103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584173.46</v>
      </c>
      <c r="H625" s="108">
        <f>I476</f>
        <v>584173.46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121401.39000000001</v>
      </c>
      <c r="H626" s="108">
        <f>J476</f>
        <v>121401.39000000001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23521634.759999998</v>
      </c>
      <c r="H627" s="103">
        <f>SUM(F468)</f>
        <v>23521634.759999998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782198.99</v>
      </c>
      <c r="H628" s="103">
        <f>SUM(G468)</f>
        <v>782198.99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1218642.49</v>
      </c>
      <c r="H629" s="103">
        <f>SUM(H468)</f>
        <v>1218642.49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730400</v>
      </c>
      <c r="H630" s="103">
        <f>SUM(I468)</f>
        <v>730400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157103.54999999999</v>
      </c>
      <c r="H631" s="103">
        <f>SUM(J468)</f>
        <v>157103.54999999999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23521634.760000005</v>
      </c>
      <c r="H632" s="103">
        <f>SUM(F472)</f>
        <v>23521634.760000005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1212792.0900000001</v>
      </c>
      <c r="H633" s="103">
        <f>SUM(H472)</f>
        <v>1212792.0900000001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40183.300000000003</v>
      </c>
      <c r="H634" s="103">
        <f>I369</f>
        <v>40183.300000000003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758606.85000000009</v>
      </c>
      <c r="H635" s="103">
        <f>SUM(G472)</f>
        <v>758606.85000000009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390736.38</v>
      </c>
      <c r="H636" s="103">
        <f>SUM(I472)</f>
        <v>390736.38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157103.54999999999</v>
      </c>
      <c r="H637" s="162">
        <f>SUM(J468)</f>
        <v>157103.54999999999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164697.37</v>
      </c>
      <c r="H638" s="162">
        <f>SUM(J472)</f>
        <v>164697.37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0</v>
      </c>
      <c r="H639" s="103">
        <f>SUM(F461)</f>
        <v>0</v>
      </c>
      <c r="I639" s="139" t="s">
        <v>857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465297.47000000003</v>
      </c>
      <c r="H641" s="103">
        <f>SUM(H461)</f>
        <v>465297.47000000003</v>
      </c>
      <c r="I641" s="139" t="s">
        <v>859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465297.47000000003</v>
      </c>
      <c r="H642" s="103">
        <f>SUM(I461)</f>
        <v>465297.47000000003</v>
      </c>
      <c r="I642" s="139" t="s">
        <v>860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0</v>
      </c>
      <c r="H644" s="103">
        <f>H408</f>
        <v>0</v>
      </c>
      <c r="I644" s="139" t="s">
        <v>481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157103.54999999999</v>
      </c>
      <c r="H646" s="103">
        <f>L408</f>
        <v>157103.54999999999</v>
      </c>
      <c r="I646" s="139" t="s">
        <v>478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1059944.9500000002</v>
      </c>
      <c r="H647" s="103">
        <f>L208+L226+L244</f>
        <v>1059944.9500000002</v>
      </c>
      <c r="I647" s="139" t="s">
        <v>397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104563.37000000001</v>
      </c>
      <c r="H648" s="103">
        <f>(J257+J338)-(J255+J336)</f>
        <v>104563.37000000002</v>
      </c>
      <c r="I648" s="139" t="s">
        <v>703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434839.1595302014</v>
      </c>
      <c r="H649" s="103">
        <f>H598</f>
        <v>434839.15953020134</v>
      </c>
      <c r="I649" s="139" t="s">
        <v>389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255098.47422818793</v>
      </c>
      <c r="H650" s="103">
        <f>I598</f>
        <v>255098.47422818796</v>
      </c>
      <c r="I650" s="139" t="s">
        <v>390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370007.31624161074</v>
      </c>
      <c r="H651" s="103">
        <f>J598</f>
        <v>370007.31624161074</v>
      </c>
      <c r="I651" s="139" t="s">
        <v>391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10000</v>
      </c>
      <c r="H652" s="103">
        <f>K263+K345</f>
        <v>10000</v>
      </c>
      <c r="I652" s="139" t="s">
        <v>398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10702896.203993291</v>
      </c>
      <c r="G660" s="19">
        <f>(L229+L309+L359)</f>
        <v>6329770.1390604023</v>
      </c>
      <c r="H660" s="19">
        <f>(L247+L328+L360)</f>
        <v>8450367.35694631</v>
      </c>
      <c r="I660" s="19">
        <f>SUM(F660:H660)</f>
        <v>25483033.700000003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124498.82342281878</v>
      </c>
      <c r="G661" s="19">
        <f>(L359/IF(SUM(L358:L360)=0,1,SUM(L358:L360))*(SUM(G97:G110)))</f>
        <v>71690.839194630869</v>
      </c>
      <c r="H661" s="19">
        <f>(L360/IF(SUM(L358:L360)=0,1,SUM(L358:L360))*(SUM(G97:G110)))</f>
        <v>89933.597382550332</v>
      </c>
      <c r="I661" s="19">
        <f>SUM(F661:H661)</f>
        <v>286123.26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435859.75953020138</v>
      </c>
      <c r="G662" s="19">
        <f>(L226+L306)-(J226+J306)</f>
        <v>255098.47422818793</v>
      </c>
      <c r="H662" s="19">
        <f>(L244+L325)-(J244+J325)</f>
        <v>370007.31624161074</v>
      </c>
      <c r="I662" s="19">
        <f>SUM(F662:H662)</f>
        <v>1060965.55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366353.4508724832</v>
      </c>
      <c r="G663" s="197">
        <f>SUM(G575:G587)+SUM(I602:I604)+L612</f>
        <v>191561.98214765103</v>
      </c>
      <c r="H663" s="197">
        <f>SUM(H575:H587)+SUM(J602:J604)+L613</f>
        <v>1108220.4669798657</v>
      </c>
      <c r="I663" s="19">
        <f>SUM(F663:H663)</f>
        <v>1666135.9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9776184.170167787</v>
      </c>
      <c r="G664" s="19">
        <f>G660-SUM(G661:G663)</f>
        <v>5811418.8434899328</v>
      </c>
      <c r="H664" s="19">
        <f>H660-SUM(H661:H663)</f>
        <v>6882205.9763422832</v>
      </c>
      <c r="I664" s="19">
        <f>I660-SUM(I661:I663)</f>
        <v>22469808.990000002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f>468.34+235.05</f>
        <v>703.39</v>
      </c>
      <c r="G665" s="246">
        <v>434.39</v>
      </c>
      <c r="H665" s="246">
        <v>535.74</v>
      </c>
      <c r="I665" s="19">
        <f>SUM(F665:H665)</f>
        <v>1673.52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13898.67</v>
      </c>
      <c r="G667" s="19">
        <f>ROUND(G664/G665,2)</f>
        <v>13378.34</v>
      </c>
      <c r="H667" s="19">
        <f>ROUND(H664/H665,2)</f>
        <v>12846.17</v>
      </c>
      <c r="I667" s="19">
        <f>ROUND(I664/I665,2)</f>
        <v>13426.67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4.5199999999999996</v>
      </c>
      <c r="I670" s="19">
        <f>SUM(F670:H670)</f>
        <v>4.5199999999999996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13898.67</v>
      </c>
      <c r="G672" s="19">
        <f>ROUND((G664+G669)/(G665+G670),2)</f>
        <v>13378.34</v>
      </c>
      <c r="H672" s="19">
        <f>ROUND((H664+H669)/(H665+H670),2)</f>
        <v>12738.69</v>
      </c>
      <c r="I672" s="19">
        <f>ROUND((I664+I669)/(I665+I670),2)</f>
        <v>13390.51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Somersworth</v>
      </c>
      <c r="C1" s="236" t="s">
        <v>839</v>
      </c>
    </row>
    <row r="2" spans="1:3" x14ac:dyDescent="0.2">
      <c r="A2" s="231"/>
      <c r="B2" s="230"/>
    </row>
    <row r="3" spans="1:3" x14ac:dyDescent="0.2">
      <c r="A3" s="275" t="s">
        <v>784</v>
      </c>
      <c r="B3" s="275"/>
      <c r="C3" s="275"/>
    </row>
    <row r="4" spans="1:3" x14ac:dyDescent="0.2">
      <c r="A4" s="234"/>
      <c r="B4" s="235" t="str">
        <f>'DOE25'!H1</f>
        <v>DOE 25  2013-2014</v>
      </c>
      <c r="C4" s="234"/>
    </row>
    <row r="5" spans="1:3" x14ac:dyDescent="0.2">
      <c r="A5" s="231"/>
      <c r="B5" s="230"/>
    </row>
    <row r="6" spans="1:3" x14ac:dyDescent="0.2">
      <c r="A6" s="225"/>
      <c r="B6" s="274" t="s">
        <v>783</v>
      </c>
      <c r="C6" s="274"/>
    </row>
    <row r="7" spans="1:3" x14ac:dyDescent="0.2">
      <c r="A7" s="237" t="s">
        <v>786</v>
      </c>
      <c r="B7" s="272" t="s">
        <v>782</v>
      </c>
      <c r="C7" s="273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5140484.24</v>
      </c>
      <c r="C9" s="227">
        <f>'DOE25'!G197+'DOE25'!G215+'DOE25'!G233+'DOE25'!G276+'DOE25'!G295+'DOE25'!G314</f>
        <v>2820694.94</v>
      </c>
    </row>
    <row r="10" spans="1:3" x14ac:dyDescent="0.2">
      <c r="A10" t="s">
        <v>779</v>
      </c>
      <c r="B10" s="238">
        <f>13637.5+4438563.14+20383.32+94724.1+5600</f>
        <v>4572908.0599999996</v>
      </c>
      <c r="C10" s="238">
        <f>2895.11+2353633.25+3837.68+316276.42+1071.91</f>
        <v>2677714.37</v>
      </c>
    </row>
    <row r="11" spans="1:3" x14ac:dyDescent="0.2">
      <c r="A11" t="s">
        <v>780</v>
      </c>
      <c r="B11" s="238">
        <f>57613.52+83168.97</f>
        <v>140782.49</v>
      </c>
      <c r="C11" s="238">
        <f>57316.7+46569.17</f>
        <v>103885.87</v>
      </c>
    </row>
    <row r="12" spans="1:3" x14ac:dyDescent="0.2">
      <c r="A12" t="s">
        <v>781</v>
      </c>
      <c r="B12" s="238">
        <f>3000+423793.69</f>
        <v>426793.69</v>
      </c>
      <c r="C12" s="238">
        <f>229.5+38865.2</f>
        <v>39094.699999999997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5140484.24</v>
      </c>
      <c r="C13" s="229">
        <f>SUM(C10:C12)</f>
        <v>2820694.9400000004</v>
      </c>
    </row>
    <row r="14" spans="1:3" x14ac:dyDescent="0.2">
      <c r="B14" s="228"/>
      <c r="C14" s="228"/>
    </row>
    <row r="15" spans="1:3" x14ac:dyDescent="0.2">
      <c r="B15" s="274" t="s">
        <v>783</v>
      </c>
      <c r="C15" s="274"/>
    </row>
    <row r="16" spans="1:3" x14ac:dyDescent="0.2">
      <c r="A16" s="237" t="s">
        <v>787</v>
      </c>
      <c r="B16" s="272" t="s">
        <v>707</v>
      </c>
      <c r="C16" s="273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2845777.7499999995</v>
      </c>
      <c r="C18" s="227">
        <f>'DOE25'!G198+'DOE25'!G216+'DOE25'!G234+'DOE25'!G277+'DOE25'!G296+'DOE25'!G315</f>
        <v>1855801.24</v>
      </c>
    </row>
    <row r="19" spans="1:3" x14ac:dyDescent="0.2">
      <c r="A19" t="s">
        <v>779</v>
      </c>
      <c r="B19" s="238">
        <f>1042925.95+92810.13+140776+262661.26</f>
        <v>1539173.34</v>
      </c>
      <c r="C19" s="238">
        <f>570484.19+18795.82+87244.22+1578.74+159923.01</f>
        <v>838025.97999999986</v>
      </c>
    </row>
    <row r="20" spans="1:3" x14ac:dyDescent="0.2">
      <c r="A20" t="s">
        <v>780</v>
      </c>
      <c r="B20" s="238">
        <f>87762.22+1082045.13+36975.33</f>
        <v>1206782.68</v>
      </c>
      <c r="C20" s="238">
        <f>7.63+98942.72+824748.02+33060.92</f>
        <v>956759.29</v>
      </c>
    </row>
    <row r="21" spans="1:3" x14ac:dyDescent="0.2">
      <c r="A21" t="s">
        <v>781</v>
      </c>
      <c r="B21" s="238">
        <f>29583.79+38507.94+31730</f>
        <v>99821.73000000001</v>
      </c>
      <c r="C21" s="238">
        <f>22241.4+24089.57+14685</f>
        <v>61015.97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2845777.75</v>
      </c>
      <c r="C22" s="229">
        <f>SUM(C19:C21)</f>
        <v>1855801.24</v>
      </c>
    </row>
    <row r="23" spans="1:3" x14ac:dyDescent="0.2">
      <c r="B23" s="228"/>
      <c r="C23" s="228"/>
    </row>
    <row r="24" spans="1:3" x14ac:dyDescent="0.2">
      <c r="B24" s="274" t="s">
        <v>783</v>
      </c>
      <c r="C24" s="274"/>
    </row>
    <row r="25" spans="1:3" x14ac:dyDescent="0.2">
      <c r="A25" s="237" t="s">
        <v>788</v>
      </c>
      <c r="B25" s="272" t="s">
        <v>708</v>
      </c>
      <c r="C25" s="273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433679.41</v>
      </c>
      <c r="C27" s="232">
        <f>'DOE25'!G199+'DOE25'!G217+'DOE25'!G235+'DOE25'!G278+'DOE25'!G297+'DOE25'!G316</f>
        <v>242221.09999999998</v>
      </c>
    </row>
    <row r="28" spans="1:3" x14ac:dyDescent="0.2">
      <c r="A28" t="s">
        <v>779</v>
      </c>
      <c r="B28" s="238">
        <f>418116.38+1522.63+8821.68</f>
        <v>428460.69</v>
      </c>
      <c r="C28" s="238">
        <f>238890.38+143.55+2333.53</f>
        <v>241367.46</v>
      </c>
    </row>
    <row r="29" spans="1:3" x14ac:dyDescent="0.2">
      <c r="A29" t="s">
        <v>780</v>
      </c>
      <c r="B29" s="238">
        <v>5218.72</v>
      </c>
      <c r="C29" s="238">
        <v>853.64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433679.41</v>
      </c>
      <c r="C31" s="229">
        <f>SUM(C28:C30)</f>
        <v>242221.1</v>
      </c>
    </row>
    <row r="33" spans="1:3" x14ac:dyDescent="0.2">
      <c r="B33" s="274" t="s">
        <v>783</v>
      </c>
      <c r="C33" s="274"/>
    </row>
    <row r="34" spans="1:3" x14ac:dyDescent="0.2">
      <c r="A34" s="237" t="s">
        <v>789</v>
      </c>
      <c r="B34" s="272" t="s">
        <v>709</v>
      </c>
      <c r="C34" s="273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294833.16000000003</v>
      </c>
      <c r="C36" s="233">
        <f>'DOE25'!G200+'DOE25'!G218+'DOE25'!G236+'DOE25'!G279+'DOE25'!G298+'DOE25'!G317</f>
        <v>46675.74</v>
      </c>
    </row>
    <row r="37" spans="1:3" x14ac:dyDescent="0.2">
      <c r="A37" t="s">
        <v>779</v>
      </c>
      <c r="B37" s="238">
        <f>19963.6+92730+15689.5+166450.06</f>
        <v>294833.16000000003</v>
      </c>
      <c r="C37" s="238">
        <f>3956.58+14886.47+2948.18+24884.51</f>
        <v>46675.74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294833.16000000003</v>
      </c>
      <c r="C40" s="229">
        <f>SUM(C37:C39)</f>
        <v>46675.74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79"/>
    </row>
    <row r="2" spans="1:9" x14ac:dyDescent="0.2">
      <c r="A2" s="33" t="s">
        <v>717</v>
      </c>
      <c r="B2" s="263" t="str">
        <f>'DOE25'!A2</f>
        <v>Somersworth</v>
      </c>
      <c r="C2" s="179"/>
      <c r="D2" s="179" t="s">
        <v>792</v>
      </c>
      <c r="E2" s="179" t="s">
        <v>794</v>
      </c>
      <c r="F2" s="276" t="s">
        <v>821</v>
      </c>
      <c r="G2" s="277"/>
      <c r="H2" s="278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15164181.792203579</v>
      </c>
      <c r="D5" s="20">
        <f>SUM('DOE25'!L197:L200)+SUM('DOE25'!L215:L218)+SUM('DOE25'!L233:L236)-F5-G5</f>
        <v>15089844.662203578</v>
      </c>
      <c r="E5" s="241"/>
      <c r="F5" s="253">
        <f>SUM('DOE25'!J197:J200)+SUM('DOE25'!J215:J218)+SUM('DOE25'!J233:J236)</f>
        <v>69996.63</v>
      </c>
      <c r="G5" s="53">
        <f>SUM('DOE25'!K197:K200)+SUM('DOE25'!K215:K218)+SUM('DOE25'!K233:K236)</f>
        <v>4340.5</v>
      </c>
      <c r="H5" s="257"/>
    </row>
    <row r="6" spans="1:9" x14ac:dyDescent="0.2">
      <c r="A6" s="32">
        <v>2100</v>
      </c>
      <c r="B6" t="s">
        <v>801</v>
      </c>
      <c r="C6" s="243">
        <f t="shared" si="0"/>
        <v>1636274.3599999999</v>
      </c>
      <c r="D6" s="20">
        <f>'DOE25'!L202+'DOE25'!L220+'DOE25'!L238-F6-G6</f>
        <v>1623726.6199999999</v>
      </c>
      <c r="E6" s="241"/>
      <c r="F6" s="253">
        <f>'DOE25'!J202+'DOE25'!J220+'DOE25'!J238</f>
        <v>279</v>
      </c>
      <c r="G6" s="53">
        <f>'DOE25'!K202+'DOE25'!K220+'DOE25'!K238</f>
        <v>12268.740000000002</v>
      </c>
      <c r="H6" s="257"/>
    </row>
    <row r="7" spans="1:9" x14ac:dyDescent="0.2">
      <c r="A7" s="32">
        <v>2200</v>
      </c>
      <c r="B7" t="s">
        <v>834</v>
      </c>
      <c r="C7" s="243">
        <f t="shared" si="0"/>
        <v>304093.14</v>
      </c>
      <c r="D7" s="20">
        <f>'DOE25'!L203+'DOE25'!L221+'DOE25'!L239-F7-G7</f>
        <v>302685.7</v>
      </c>
      <c r="E7" s="241"/>
      <c r="F7" s="253">
        <f>'DOE25'!J203+'DOE25'!J221+'DOE25'!J239</f>
        <v>1407.44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802</v>
      </c>
      <c r="C8" s="243">
        <f t="shared" si="0"/>
        <v>724640.27260712569</v>
      </c>
      <c r="D8" s="241"/>
      <c r="E8" s="20">
        <f>'DOE25'!L204+'DOE25'!L222+'DOE25'!L240-F8-G8-D9-D11</f>
        <v>719525.56260712573</v>
      </c>
      <c r="F8" s="253">
        <f>'DOE25'!J204+'DOE25'!J222+'DOE25'!J240</f>
        <v>0</v>
      </c>
      <c r="G8" s="53">
        <f>'DOE25'!K204+'DOE25'!K222+'DOE25'!K240</f>
        <v>5114.7100000000009</v>
      </c>
      <c r="H8" s="257"/>
    </row>
    <row r="9" spans="1:9" x14ac:dyDescent="0.2">
      <c r="A9" s="32">
        <v>2310</v>
      </c>
      <c r="B9" t="s">
        <v>818</v>
      </c>
      <c r="C9" s="243">
        <f t="shared" si="0"/>
        <v>20927.760000000002</v>
      </c>
      <c r="D9" s="242">
        <f>15835.66+5092.1</f>
        <v>20927.760000000002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7743</v>
      </c>
      <c r="D10" s="241"/>
      <c r="E10" s="242">
        <v>7743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266785.69739287428</v>
      </c>
      <c r="D11" s="242">
        <v>266785.69739287428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1472782.23</v>
      </c>
      <c r="D12" s="20">
        <f>'DOE25'!L205+'DOE25'!L223+'DOE25'!L241-F12-G12</f>
        <v>1463254.95</v>
      </c>
      <c r="E12" s="241"/>
      <c r="F12" s="253">
        <f>'DOE25'!J205+'DOE25'!J223+'DOE25'!J241</f>
        <v>1123.28</v>
      </c>
      <c r="G12" s="53">
        <f>'DOE25'!K205+'DOE25'!K223+'DOE25'!K241</f>
        <v>8404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2556499.38</v>
      </c>
      <c r="D14" s="20">
        <f>'DOE25'!L207+'DOE25'!L225+'DOE25'!L243-F14-G14</f>
        <v>2555545.15</v>
      </c>
      <c r="E14" s="241"/>
      <c r="F14" s="253">
        <f>'DOE25'!J207+'DOE25'!J225+'DOE25'!J243</f>
        <v>954.23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1059944.9500000002</v>
      </c>
      <c r="D15" s="20">
        <f>'DOE25'!L208+'DOE25'!L226+'DOE25'!L244-F15-G15</f>
        <v>1059944.9500000002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305505.17779642064</v>
      </c>
      <c r="D16" s="241"/>
      <c r="E16" s="20">
        <f>'DOE25'!L209+'DOE25'!L227+'DOE25'!L245-F16-G16</f>
        <v>305505.17779642064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758606.85000000009</v>
      </c>
      <c r="D29" s="20">
        <f>'DOE25'!L358+'DOE25'!L359+'DOE25'!L360-'DOE25'!I367-F29-G29</f>
        <v>758606.85000000009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1212792.0900000001</v>
      </c>
      <c r="D31" s="20">
        <f>'DOE25'!L290+'DOE25'!L309+'DOE25'!L328+'DOE25'!L333+'DOE25'!L334+'DOE25'!L335-F31-G31</f>
        <v>1143916.45</v>
      </c>
      <c r="E31" s="241"/>
      <c r="F31" s="253">
        <f>'DOE25'!J290+'DOE25'!J309+'DOE25'!J328+'DOE25'!J333+'DOE25'!J334+'DOE25'!J335</f>
        <v>30802.79</v>
      </c>
      <c r="G31" s="53">
        <f>'DOE25'!K290+'DOE25'!K309+'DOE25'!K328+'DOE25'!K333+'DOE25'!K334+'DOE25'!K335</f>
        <v>38072.85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24285238.78959645</v>
      </c>
      <c r="E33" s="244">
        <f>SUM(E5:E31)</f>
        <v>1032773.7404035464</v>
      </c>
      <c r="F33" s="244">
        <f>SUM(F5:F31)</f>
        <v>104563.37</v>
      </c>
      <c r="G33" s="244">
        <f>SUM(G5:G31)</f>
        <v>68200.800000000003</v>
      </c>
      <c r="H33" s="244">
        <f>SUM(H5:H31)</f>
        <v>0</v>
      </c>
    </row>
    <row r="35" spans="2:8" ht="12" thickBot="1" x14ac:dyDescent="0.25">
      <c r="B35" s="251" t="s">
        <v>847</v>
      </c>
      <c r="D35" s="252">
        <f>E33</f>
        <v>1032773.7404035464</v>
      </c>
      <c r="E35" s="247"/>
    </row>
    <row r="36" spans="2:8" ht="12" thickTop="1" x14ac:dyDescent="0.2">
      <c r="B36" t="s">
        <v>815</v>
      </c>
      <c r="D36" s="20">
        <f>D33</f>
        <v>24285238.78959645</v>
      </c>
    </row>
    <row r="38" spans="2:8" x14ac:dyDescent="0.2">
      <c r="B38" s="185" t="s">
        <v>895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Somersworth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47123.96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320695.40000000002</v>
      </c>
      <c r="D11" s="94">
        <f>'DOE25'!G12</f>
        <v>34730.379999999997</v>
      </c>
      <c r="E11" s="94">
        <f>'DOE25'!H12</f>
        <v>0</v>
      </c>
      <c r="F11" s="94">
        <f>'DOE25'!I12</f>
        <v>1007880.5599999999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43849.120000000003</v>
      </c>
      <c r="E12" s="94">
        <f>'DOE25'!H13</f>
        <v>0</v>
      </c>
      <c r="F12" s="94">
        <f>'DOE25'!I13</f>
        <v>0</v>
      </c>
      <c r="G12" s="94">
        <f>'DOE25'!J13</f>
        <v>462634.13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130050.27</v>
      </c>
      <c r="D13" s="94">
        <f>'DOE25'!G14</f>
        <v>0</v>
      </c>
      <c r="E13" s="94">
        <f>'DOE25'!H14</f>
        <v>305945.11</v>
      </c>
      <c r="F13" s="94">
        <f>'DOE25'!I14</f>
        <v>0</v>
      </c>
      <c r="G13" s="94">
        <f>'DOE25'!J14</f>
        <v>2663.34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450745.67000000004</v>
      </c>
      <c r="D18" s="41">
        <f>SUM(D8:D17)</f>
        <v>78579.5</v>
      </c>
      <c r="E18" s="41">
        <f>SUM(E8:E17)</f>
        <v>305945.11</v>
      </c>
      <c r="F18" s="41">
        <f>SUM(F8:F17)</f>
        <v>1055004.52</v>
      </c>
      <c r="G18" s="41">
        <f>SUM(G8:G17)</f>
        <v>465297.47000000003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134223.59</v>
      </c>
      <c r="F21" s="94">
        <f>'DOE25'!I22</f>
        <v>7.23</v>
      </c>
      <c r="G21" s="94">
        <f>'DOE25'!J22</f>
        <v>342794.62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450745.67</v>
      </c>
      <c r="D23" s="94">
        <f>'DOE25'!G24</f>
        <v>40839.01</v>
      </c>
      <c r="E23" s="94">
        <f>'DOE25'!H24</f>
        <v>0</v>
      </c>
      <c r="F23" s="94">
        <f>'DOE25'!I24</f>
        <v>0</v>
      </c>
      <c r="G23" s="94">
        <f>'DOE25'!J24</f>
        <v>1101.46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104149.09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470823.83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450745.67</v>
      </c>
      <c r="D31" s="41">
        <f>SUM(D21:D30)</f>
        <v>40839.01</v>
      </c>
      <c r="E31" s="41">
        <f>SUM(E21:E30)</f>
        <v>238372.68</v>
      </c>
      <c r="F31" s="41">
        <f>SUM(F21:F30)</f>
        <v>470831.06</v>
      </c>
      <c r="G31" s="41">
        <f>SUM(G21:G30)</f>
        <v>343896.08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584173.46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0</v>
      </c>
      <c r="D47" s="94">
        <f>'DOE25'!G48</f>
        <v>37740.49</v>
      </c>
      <c r="E47" s="94">
        <f>'DOE25'!H48</f>
        <v>67572.429999999993</v>
      </c>
      <c r="F47" s="94">
        <f>'DOE25'!I48</f>
        <v>0</v>
      </c>
      <c r="G47" s="94">
        <f>'DOE25'!J48</f>
        <v>121401.39000000001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0</v>
      </c>
      <c r="D50" s="41">
        <f>SUM(D34:D49)</f>
        <v>37740.49</v>
      </c>
      <c r="E50" s="41">
        <f>SUM(E34:E49)</f>
        <v>67572.429999999993</v>
      </c>
      <c r="F50" s="41">
        <f>SUM(F34:F49)</f>
        <v>584173.46</v>
      </c>
      <c r="G50" s="41">
        <f>SUM(G34:G49)</f>
        <v>121401.39000000001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450745.67</v>
      </c>
      <c r="D51" s="41">
        <f>D50+D31</f>
        <v>78579.5</v>
      </c>
      <c r="E51" s="41">
        <f>E50+E31</f>
        <v>305945.11</v>
      </c>
      <c r="F51" s="41">
        <f>F50+F31</f>
        <v>1055004.52</v>
      </c>
      <c r="G51" s="41">
        <f>G50+G31</f>
        <v>465297.47000000003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10584517.359999999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1626894.4100000001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0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252351.33999999997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143869.28</v>
      </c>
      <c r="D61" s="94">
        <f>SUM('DOE25'!G98:G110)</f>
        <v>33771.919999999998</v>
      </c>
      <c r="E61" s="94">
        <f>SUM('DOE25'!H98:H110)</f>
        <v>0</v>
      </c>
      <c r="F61" s="94">
        <f>SUM('DOE25'!I98:I110)</f>
        <v>0</v>
      </c>
      <c r="G61" s="94">
        <f>SUM('DOE25'!J98:J110)</f>
        <v>157103.54999999999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1770763.6900000002</v>
      </c>
      <c r="D62" s="129">
        <f>SUM(D57:D61)</f>
        <v>286123.25999999995</v>
      </c>
      <c r="E62" s="129">
        <f>SUM(E57:E61)</f>
        <v>0</v>
      </c>
      <c r="F62" s="129">
        <f>SUM(F57:F61)</f>
        <v>0</v>
      </c>
      <c r="G62" s="129">
        <f>SUM(G57:G61)</f>
        <v>157103.54999999999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12355281.049999999</v>
      </c>
      <c r="D63" s="22">
        <f>D56+D62</f>
        <v>286123.25999999995</v>
      </c>
      <c r="E63" s="22">
        <f>E56+E62</f>
        <v>0</v>
      </c>
      <c r="F63" s="22">
        <f>F56+F62</f>
        <v>0</v>
      </c>
      <c r="G63" s="22">
        <f>G56+G62</f>
        <v>157103.54999999999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7595901.25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1938629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9534530.25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909037.38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277301.65000000002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53849.57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7659.92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1240188.6000000001</v>
      </c>
      <c r="D78" s="129">
        <f>SUM(D72:D77)</f>
        <v>7659.92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10774718.85</v>
      </c>
      <c r="D81" s="129">
        <f>SUM(D79:D80)+D78+D70</f>
        <v>7659.92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391634.86</v>
      </c>
      <c r="D88" s="94">
        <f>SUM('DOE25'!G153:G161)</f>
        <v>478415.81</v>
      </c>
      <c r="E88" s="94">
        <f>SUM('DOE25'!H153:H161)</f>
        <v>1218642.49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391634.86</v>
      </c>
      <c r="D91" s="130">
        <f>SUM(D85:D90)</f>
        <v>478415.81</v>
      </c>
      <c r="E91" s="130">
        <f>SUM(E85:E90)</f>
        <v>1218642.49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730400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10000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0</v>
      </c>
      <c r="D103" s="85">
        <f>SUM(D93:D102)</f>
        <v>10000</v>
      </c>
      <c r="E103" s="85">
        <f>SUM(E93:E102)</f>
        <v>0</v>
      </c>
      <c r="F103" s="85">
        <f>SUM(F93:F102)</f>
        <v>730400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23521634.759999998</v>
      </c>
      <c r="D104" s="85">
        <f>D63+D81+D91+D103</f>
        <v>782198.99</v>
      </c>
      <c r="E104" s="85">
        <f>E63+E81+E91+E103</f>
        <v>1218642.49</v>
      </c>
      <c r="F104" s="85">
        <f>F63+F81+F91+F103</f>
        <v>730400</v>
      </c>
      <c r="G104" s="85">
        <f>G63+G81+G103</f>
        <v>157103.54999999999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8469321.2322035804</v>
      </c>
      <c r="D109" s="24" t="s">
        <v>289</v>
      </c>
      <c r="E109" s="94">
        <f>('DOE25'!L276)+('DOE25'!L295)+('DOE25'!L314)</f>
        <v>25923.589999999997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5787494.1600000001</v>
      </c>
      <c r="D110" s="24" t="s">
        <v>289</v>
      </c>
      <c r="E110" s="94">
        <f>('DOE25'!L277)+('DOE25'!L296)+('DOE25'!L315)</f>
        <v>488869.83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753638.34</v>
      </c>
      <c r="D111" s="24" t="s">
        <v>289</v>
      </c>
      <c r="E111" s="94">
        <f>('DOE25'!L278)+('DOE25'!L297)+('DOE25'!L316)</f>
        <v>70812.200000000012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153728.06000000003</v>
      </c>
      <c r="D112" s="24" t="s">
        <v>289</v>
      </c>
      <c r="E112" s="94">
        <f>+('DOE25'!L279)+('DOE25'!L298)+('DOE25'!L317)</f>
        <v>279950.57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15164181.792203581</v>
      </c>
      <c r="D115" s="85">
        <f>SUM(D109:D114)</f>
        <v>0</v>
      </c>
      <c r="E115" s="85">
        <f>SUM(E109:E114)</f>
        <v>865556.19000000018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1636274.3599999999</v>
      </c>
      <c r="D118" s="24" t="s">
        <v>289</v>
      </c>
      <c r="E118" s="94">
        <f>+('DOE25'!L281)+('DOE25'!L300)+('DOE25'!L319)</f>
        <v>62374.83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304093.14</v>
      </c>
      <c r="D119" s="24" t="s">
        <v>289</v>
      </c>
      <c r="E119" s="94">
        <f>+('DOE25'!L282)+('DOE25'!L301)+('DOE25'!L320)</f>
        <v>187736.86000000002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1012353.73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1472782.23</v>
      </c>
      <c r="D121" s="24" t="s">
        <v>289</v>
      </c>
      <c r="E121" s="94">
        <f>+('DOE25'!L284)+('DOE25'!L303)+('DOE25'!L322)</f>
        <v>6261.08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89842.530000000013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2556499.38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1059944.9500000002</v>
      </c>
      <c r="D124" s="24" t="s">
        <v>289</v>
      </c>
      <c r="E124" s="94">
        <f>+('DOE25'!L287)+('DOE25'!L306)+('DOE25'!L325)</f>
        <v>1020.6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305505.17779642064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758606.85000000009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8347452.9677964207</v>
      </c>
      <c r="D128" s="85">
        <f>SUM(D118:D127)</f>
        <v>758606.85000000009</v>
      </c>
      <c r="E128" s="85">
        <f>SUM(E118:E127)</f>
        <v>347235.89999999997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390736.38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10000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157103.54999999999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-157103.54999999999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10000</v>
      </c>
      <c r="D144" s="140">
        <f>SUM(D130:D143)</f>
        <v>0</v>
      </c>
      <c r="E144" s="140">
        <f>SUM(E130:E143)</f>
        <v>0</v>
      </c>
      <c r="F144" s="140">
        <f>SUM(F130:F143)</f>
        <v>390736.38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23521634.760000002</v>
      </c>
      <c r="D145" s="85">
        <f>(D115+D128+D144)</f>
        <v>758606.85000000009</v>
      </c>
      <c r="E145" s="85">
        <f>(E115+E128+E144)</f>
        <v>1212792.0900000001</v>
      </c>
      <c r="F145" s="85">
        <f>(F115+F128+F144)</f>
        <v>390736.38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1</v>
      </c>
      <c r="C151" s="151">
        <f>'DOE25'!G490</f>
        <v>2</v>
      </c>
      <c r="D151" s="151">
        <f>'DOE25'!H490</f>
        <v>3</v>
      </c>
      <c r="E151" s="151">
        <f>'DOE25'!I490</f>
        <v>4</v>
      </c>
      <c r="F151" s="151">
        <f>'DOE25'!J490</f>
        <v>0</v>
      </c>
      <c r="G151" s="24" t="s">
        <v>289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07/08</v>
      </c>
      <c r="E152" s="150" t="str">
        <f>'DOE25'!I491</f>
        <v>01/10</v>
      </c>
      <c r="F152" s="150">
        <f>'DOE25'!J491</f>
        <v>0</v>
      </c>
      <c r="G152" s="24" t="s">
        <v>289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08/18</v>
      </c>
      <c r="E153" s="150" t="str">
        <f>'DOE25'!I492</f>
        <v>01/30</v>
      </c>
      <c r="F153" s="150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5300000</v>
      </c>
      <c r="C154" s="136">
        <f>'DOE25'!G493</f>
        <v>310000</v>
      </c>
      <c r="D154" s="136">
        <f>'DOE25'!H493</f>
        <v>1338545</v>
      </c>
      <c r="E154" s="136">
        <f>'DOE25'!I493</f>
        <v>18953000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5.63</v>
      </c>
      <c r="C155" s="136">
        <f>'DOE25'!G494</f>
        <v>5.2</v>
      </c>
      <c r="D155" s="136">
        <f>'DOE25'!H494</f>
        <v>3.68</v>
      </c>
      <c r="E155" s="136">
        <f>'DOE25'!I494</f>
        <v>3.73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1060000</v>
      </c>
      <c r="C156" s="136">
        <f>'DOE25'!G495</f>
        <v>105000</v>
      </c>
      <c r="D156" s="136">
        <f>'DOE25'!H495</f>
        <v>800000</v>
      </c>
      <c r="E156" s="136">
        <f>'DOE25'!I495</f>
        <v>14984073</v>
      </c>
      <c r="F156" s="136">
        <f>'DOE25'!J495</f>
        <v>0</v>
      </c>
      <c r="G156" s="137">
        <f>SUM(B156:F156)</f>
        <v>16949073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265000</v>
      </c>
      <c r="C158" s="136">
        <f>'DOE25'!G497</f>
        <v>15000</v>
      </c>
      <c r="D158" s="136">
        <f>'DOE25'!H497</f>
        <v>135000</v>
      </c>
      <c r="E158" s="136">
        <f>'DOE25'!I497</f>
        <v>1268130</v>
      </c>
      <c r="F158" s="136">
        <f>'DOE25'!J497</f>
        <v>0</v>
      </c>
      <c r="G158" s="137">
        <f t="shared" si="0"/>
        <v>1683130</v>
      </c>
    </row>
    <row r="159" spans="1:9" x14ac:dyDescent="0.2">
      <c r="A159" s="22" t="s">
        <v>35</v>
      </c>
      <c r="B159" s="136">
        <f>'DOE25'!F498</f>
        <v>795000</v>
      </c>
      <c r="C159" s="136">
        <f>'DOE25'!G498</f>
        <v>90000</v>
      </c>
      <c r="D159" s="136">
        <f>'DOE25'!H498</f>
        <v>665000</v>
      </c>
      <c r="E159" s="136">
        <f>'DOE25'!I498</f>
        <v>13715943</v>
      </c>
      <c r="F159" s="136">
        <f>'DOE25'!J498</f>
        <v>0</v>
      </c>
      <c r="G159" s="137">
        <f t="shared" si="0"/>
        <v>15265943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795000</v>
      </c>
      <c r="C161" s="136">
        <f>'DOE25'!G500</f>
        <v>90000</v>
      </c>
      <c r="D161" s="136">
        <f>'DOE25'!H500</f>
        <v>665000</v>
      </c>
      <c r="E161" s="136">
        <f>'DOE25'!I500</f>
        <v>13715943</v>
      </c>
      <c r="F161" s="136">
        <f>'DOE25'!J500</f>
        <v>0</v>
      </c>
      <c r="G161" s="137">
        <f t="shared" si="0"/>
        <v>15265943</v>
      </c>
    </row>
    <row r="162" spans="1:7" x14ac:dyDescent="0.2">
      <c r="A162" s="22" t="s">
        <v>38</v>
      </c>
      <c r="B162" s="136">
        <f>'DOE25'!F501</f>
        <v>265000</v>
      </c>
      <c r="C162" s="136">
        <f>'DOE25'!G501</f>
        <v>15000</v>
      </c>
      <c r="D162" s="136">
        <f>'DOE25'!H501</f>
        <v>135000</v>
      </c>
      <c r="E162" s="136">
        <f>'DOE25'!I501</f>
        <v>1168431</v>
      </c>
      <c r="F162" s="136">
        <f>'DOE25'!J501</f>
        <v>0</v>
      </c>
      <c r="G162" s="137">
        <f t="shared" si="0"/>
        <v>1583431</v>
      </c>
    </row>
    <row r="163" spans="1:7" x14ac:dyDescent="0.2">
      <c r="A163" s="22" t="s">
        <v>39</v>
      </c>
      <c r="B163" s="136">
        <f>'DOE25'!F502</f>
        <v>38094</v>
      </c>
      <c r="C163" s="136">
        <f>'DOE25'!G502</f>
        <v>4331</v>
      </c>
      <c r="D163" s="136">
        <f>'DOE25'!H502</f>
        <v>31369</v>
      </c>
      <c r="E163" s="136">
        <f>'DOE25'!I502</f>
        <v>26714705</v>
      </c>
      <c r="F163" s="136">
        <f>'DOE25'!J502</f>
        <v>0</v>
      </c>
      <c r="G163" s="137">
        <f t="shared" si="0"/>
        <v>26788499</v>
      </c>
    </row>
    <row r="164" spans="1:7" x14ac:dyDescent="0.2">
      <c r="A164" s="22" t="s">
        <v>246</v>
      </c>
      <c r="B164" s="136">
        <f>'DOE25'!F503</f>
        <v>303094</v>
      </c>
      <c r="C164" s="136">
        <f>'DOE25'!G503</f>
        <v>19331</v>
      </c>
      <c r="D164" s="136">
        <f>'DOE25'!H503</f>
        <v>166369</v>
      </c>
      <c r="E164" s="136">
        <f>'DOE25'!I503</f>
        <v>27883136</v>
      </c>
      <c r="F164" s="136">
        <f>'DOE25'!J503</f>
        <v>0</v>
      </c>
      <c r="G164" s="137">
        <f t="shared" si="0"/>
        <v>28371930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5" t="s">
        <v>717</v>
      </c>
      <c r="B2" s="184" t="str">
        <f>'DOE25'!A2</f>
        <v>Somersworth</v>
      </c>
    </row>
    <row r="3" spans="1:4" x14ac:dyDescent="0.2">
      <c r="B3" s="186" t="s">
        <v>896</v>
      </c>
    </row>
    <row r="4" spans="1:4" x14ac:dyDescent="0.2">
      <c r="B4" t="s">
        <v>61</v>
      </c>
      <c r="C4" s="177">
        <f>IF('DOE25'!F665+'DOE25'!F670=0,0,ROUND('DOE25'!F672,0))</f>
        <v>13899</v>
      </c>
    </row>
    <row r="5" spans="1:4" x14ac:dyDescent="0.2">
      <c r="B5" t="s">
        <v>704</v>
      </c>
      <c r="C5" s="177">
        <f>IF('DOE25'!G665+'DOE25'!G670=0,0,ROUND('DOE25'!G672,0))</f>
        <v>13378</v>
      </c>
    </row>
    <row r="6" spans="1:4" x14ac:dyDescent="0.2">
      <c r="B6" t="s">
        <v>62</v>
      </c>
      <c r="C6" s="177">
        <f>IF('DOE25'!H665+'DOE25'!H670=0,0,ROUND('DOE25'!H672,0))</f>
        <v>12739</v>
      </c>
    </row>
    <row r="7" spans="1:4" x14ac:dyDescent="0.2">
      <c r="B7" t="s">
        <v>705</v>
      </c>
      <c r="C7" s="177">
        <f>IF('DOE25'!I665+'DOE25'!I670=0,0,ROUND('DOE25'!I672,0))</f>
        <v>13391</v>
      </c>
    </row>
    <row r="9" spans="1:4" x14ac:dyDescent="0.2">
      <c r="A9" s="185" t="s">
        <v>94</v>
      </c>
      <c r="B9" s="186" t="s">
        <v>897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8495245</v>
      </c>
      <c r="D10" s="180">
        <f>ROUND((C10/$C$28)*100,1)</f>
        <v>33.700000000000003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6276364</v>
      </c>
      <c r="D11" s="180">
        <f>ROUND((C11/$C$28)*100,1)</f>
        <v>24.9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824451</v>
      </c>
      <c r="D12" s="180">
        <f>ROUND((C12/$C$28)*100,1)</f>
        <v>3.3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433679</v>
      </c>
      <c r="D13" s="180">
        <f>ROUND((C13/$C$28)*100,1)</f>
        <v>1.7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1698649</v>
      </c>
      <c r="D15" s="180">
        <f t="shared" ref="D15:D27" si="0">ROUND((C15/$C$28)*100,1)</f>
        <v>6.7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491830</v>
      </c>
      <c r="D16" s="180">
        <f t="shared" si="0"/>
        <v>2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1317859</v>
      </c>
      <c r="D17" s="180">
        <f t="shared" si="0"/>
        <v>5.2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1479043</v>
      </c>
      <c r="D18" s="180">
        <f t="shared" si="0"/>
        <v>5.9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89843</v>
      </c>
      <c r="D19" s="180">
        <f t="shared" si="0"/>
        <v>0.4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2556499</v>
      </c>
      <c r="D20" s="180">
        <f t="shared" si="0"/>
        <v>10.1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1060966</v>
      </c>
      <c r="D21" s="180">
        <f t="shared" si="0"/>
        <v>4.2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472483.74000000005</v>
      </c>
      <c r="D27" s="180">
        <f t="shared" si="0"/>
        <v>1.9</v>
      </c>
    </row>
    <row r="28" spans="1:4" x14ac:dyDescent="0.2">
      <c r="B28" s="185" t="s">
        <v>723</v>
      </c>
      <c r="C28" s="178">
        <f>SUM(C10:C27)</f>
        <v>25196911.739999998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390736</v>
      </c>
    </row>
    <row r="30" spans="1:4" x14ac:dyDescent="0.2">
      <c r="B30" s="185" t="s">
        <v>729</v>
      </c>
      <c r="C30" s="178">
        <f>SUM(C28:C29)</f>
        <v>25587647.739999998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898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10584517</v>
      </c>
      <c r="D35" s="180">
        <f t="shared" ref="D35:D40" si="1">ROUND((C35/$C$41)*100,1)</f>
        <v>41.6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2008267.5999999996</v>
      </c>
      <c r="D36" s="180">
        <f t="shared" si="1"/>
        <v>7.9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9534530</v>
      </c>
      <c r="D37" s="180">
        <f t="shared" si="1"/>
        <v>37.4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1247849</v>
      </c>
      <c r="D38" s="180">
        <f t="shared" si="1"/>
        <v>4.9000000000000004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2088693</v>
      </c>
      <c r="D39" s="180">
        <f t="shared" si="1"/>
        <v>8.1999999999999993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25463856.600000001</v>
      </c>
      <c r="D41" s="182">
        <f>SUM(D35:D40)</f>
        <v>100.00000000000001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650000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1"/>
      <c r="K1" s="211"/>
      <c r="L1" s="211"/>
      <c r="M1" s="212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Somersworth</v>
      </c>
      <c r="G2" s="296"/>
      <c r="H2" s="296"/>
      <c r="I2" s="296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6"/>
      <c r="B4" s="217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09"/>
      <c r="O29" s="209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5"/>
      <c r="AB29" s="205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5"/>
      <c r="AO29" s="205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5"/>
      <c r="BB29" s="205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5"/>
      <c r="BO29" s="205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5"/>
      <c r="CB29" s="205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5"/>
      <c r="CO29" s="205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5"/>
      <c r="DB29" s="205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5"/>
      <c r="DO29" s="205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5"/>
      <c r="EB29" s="205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5"/>
      <c r="EO29" s="205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5"/>
      <c r="FB29" s="205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5"/>
      <c r="FO29" s="205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5"/>
      <c r="GB29" s="205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5"/>
      <c r="GO29" s="205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5"/>
      <c r="HB29" s="205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5"/>
      <c r="HO29" s="205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5"/>
      <c r="IB29" s="205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5"/>
      <c r="IO29" s="205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6"/>
      <c r="B30" s="217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09"/>
      <c r="O30" s="209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5"/>
      <c r="AB30" s="205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5"/>
      <c r="AO30" s="205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5"/>
      <c r="BB30" s="205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5"/>
      <c r="BO30" s="205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5"/>
      <c r="CB30" s="205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5"/>
      <c r="CO30" s="205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5"/>
      <c r="DB30" s="205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5"/>
      <c r="DO30" s="205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5"/>
      <c r="EB30" s="205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5"/>
      <c r="EO30" s="205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5"/>
      <c r="FB30" s="205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5"/>
      <c r="FO30" s="205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5"/>
      <c r="GB30" s="205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5"/>
      <c r="GO30" s="205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5"/>
      <c r="HB30" s="205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5"/>
      <c r="HO30" s="205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5"/>
      <c r="IB30" s="205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5"/>
      <c r="IO30" s="205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6"/>
      <c r="B31" s="217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09"/>
      <c r="O31" s="209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5"/>
      <c r="AB31" s="205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5"/>
      <c r="AO31" s="205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5"/>
      <c r="BB31" s="205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5"/>
      <c r="BO31" s="205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5"/>
      <c r="CB31" s="205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5"/>
      <c r="CO31" s="205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5"/>
      <c r="DB31" s="205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5"/>
      <c r="DO31" s="205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5"/>
      <c r="EB31" s="205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5"/>
      <c r="EO31" s="205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5"/>
      <c r="FB31" s="205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5"/>
      <c r="FO31" s="205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5"/>
      <c r="GB31" s="205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5"/>
      <c r="GO31" s="205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5"/>
      <c r="HB31" s="205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5"/>
      <c r="HO31" s="205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5"/>
      <c r="IB31" s="205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5"/>
      <c r="IO31" s="205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6"/>
      <c r="B32" s="217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1"/>
      <c r="O32" s="221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6"/>
      <c r="AB32" s="217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6"/>
      <c r="AO32" s="217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6"/>
      <c r="BB32" s="217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6"/>
      <c r="BO32" s="217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6"/>
      <c r="CB32" s="217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6"/>
      <c r="CO32" s="217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6"/>
      <c r="DB32" s="217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6"/>
      <c r="DO32" s="217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6"/>
      <c r="EB32" s="217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6"/>
      <c r="EO32" s="217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6"/>
      <c r="FB32" s="217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6"/>
      <c r="FO32" s="217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6"/>
      <c r="GB32" s="217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6"/>
      <c r="GO32" s="217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6"/>
      <c r="HB32" s="217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6"/>
      <c r="HO32" s="217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6"/>
      <c r="IB32" s="217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6"/>
      <c r="IO32" s="217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6"/>
      <c r="B33" s="217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09"/>
      <c r="O38" s="209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5"/>
      <c r="AB38" s="205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5"/>
      <c r="AO38" s="205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5"/>
      <c r="BB38" s="205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5"/>
      <c r="BO38" s="205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5"/>
      <c r="CB38" s="205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5"/>
      <c r="CO38" s="205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5"/>
      <c r="DB38" s="205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5"/>
      <c r="DO38" s="205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5"/>
      <c r="EB38" s="205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5"/>
      <c r="EO38" s="205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5"/>
      <c r="FB38" s="205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5"/>
      <c r="FO38" s="205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5"/>
      <c r="GB38" s="205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5"/>
      <c r="GO38" s="205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5"/>
      <c r="HB38" s="205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5"/>
      <c r="HO38" s="205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5"/>
      <c r="IB38" s="205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5"/>
      <c r="IO38" s="205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6"/>
      <c r="B39" s="217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09"/>
      <c r="O39" s="209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5"/>
      <c r="AB39" s="205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5"/>
      <c r="AO39" s="205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5"/>
      <c r="BB39" s="205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5"/>
      <c r="BO39" s="205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5"/>
      <c r="CB39" s="205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5"/>
      <c r="CO39" s="205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5"/>
      <c r="DB39" s="205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5"/>
      <c r="DO39" s="205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5"/>
      <c r="EB39" s="205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5"/>
      <c r="EO39" s="205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5"/>
      <c r="FB39" s="205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5"/>
      <c r="FO39" s="205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5"/>
      <c r="GB39" s="205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5"/>
      <c r="GO39" s="205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5"/>
      <c r="HB39" s="205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5"/>
      <c r="HO39" s="205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5"/>
      <c r="IB39" s="205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5"/>
      <c r="IO39" s="205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6"/>
      <c r="B40" s="217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09"/>
      <c r="O40" s="209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5"/>
      <c r="AB40" s="205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5"/>
      <c r="AO40" s="205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5"/>
      <c r="BB40" s="205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5"/>
      <c r="BO40" s="205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5"/>
      <c r="CB40" s="205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5"/>
      <c r="CO40" s="205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5"/>
      <c r="DB40" s="205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5"/>
      <c r="DO40" s="205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5"/>
      <c r="EB40" s="205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5"/>
      <c r="EO40" s="205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5"/>
      <c r="FB40" s="205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5"/>
      <c r="FO40" s="205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5"/>
      <c r="GB40" s="205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5"/>
      <c r="GO40" s="205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5"/>
      <c r="HB40" s="205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5"/>
      <c r="HO40" s="205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5"/>
      <c r="IB40" s="205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5"/>
      <c r="IO40" s="205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6"/>
      <c r="B41" s="217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6"/>
      <c r="B60" s="21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6"/>
      <c r="B61" s="21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6"/>
      <c r="B62" s="21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6"/>
      <c r="B63" s="21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6"/>
      <c r="B64" s="21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6"/>
      <c r="B65" s="21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6"/>
      <c r="B66" s="21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6"/>
      <c r="B67" s="21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6"/>
      <c r="B68" s="21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6"/>
      <c r="B69" s="21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8"/>
      <c r="B70" s="219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6" t="s">
        <v>848</v>
      </c>
      <c r="B72" s="286"/>
      <c r="C72" s="286"/>
      <c r="D72" s="286"/>
      <c r="E72" s="286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09"/>
      <c r="B74" s="209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09"/>
      <c r="B75" s="209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09"/>
      <c r="B76" s="209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09"/>
      <c r="B77" s="209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09"/>
      <c r="B78" s="209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09"/>
      <c r="B79" s="209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09"/>
      <c r="B80" s="209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09"/>
      <c r="B81" s="209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09"/>
      <c r="B82" s="209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09"/>
      <c r="B83" s="209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09"/>
      <c r="B84" s="209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09"/>
      <c r="B85" s="209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09"/>
      <c r="B86" s="209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09"/>
      <c r="B87" s="209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09"/>
      <c r="B88" s="209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09"/>
      <c r="B89" s="209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09"/>
      <c r="B90" s="209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2014-12-05T17:39:05Z</dcterms:modified>
</cp:coreProperties>
</file>