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B10" i="12" l="1"/>
  <c r="F499" i="1" l="1"/>
  <c r="I472" i="1"/>
  <c r="H472" i="1"/>
  <c r="G472" i="1"/>
  <c r="F472" i="1"/>
  <c r="G468" i="1"/>
  <c r="H468" i="1"/>
  <c r="I468" i="1"/>
  <c r="J468" i="1"/>
  <c r="F468" i="1"/>
  <c r="I403" i="1" l="1"/>
  <c r="H397" i="1" l="1"/>
  <c r="G459" i="1"/>
  <c r="H439" i="1"/>
  <c r="G442" i="1"/>
  <c r="I48" i="1"/>
  <c r="G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E124" i="2" s="1"/>
  <c r="L326" i="1"/>
  <c r="E125" i="2" s="1"/>
  <c r="L333" i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D85" i="2" s="1"/>
  <c r="G162" i="1"/>
  <c r="H147" i="1"/>
  <c r="H162" i="1"/>
  <c r="H169" i="1" s="1"/>
  <c r="I147" i="1"/>
  <c r="F85" i="2" s="1"/>
  <c r="I162" i="1"/>
  <c r="L250" i="1"/>
  <c r="L332" i="1"/>
  <c r="E113" i="2" s="1"/>
  <c r="L254" i="1"/>
  <c r="L268" i="1"/>
  <c r="L269" i="1"/>
  <c r="C143" i="2" s="1"/>
  <c r="L349" i="1"/>
  <c r="L350" i="1"/>
  <c r="I665" i="1"/>
  <c r="I670" i="1"/>
  <c r="G661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D115" i="2"/>
  <c r="F115" i="2"/>
  <c r="G115" i="2"/>
  <c r="E120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I408" i="1" s="1"/>
  <c r="F408" i="1"/>
  <c r="H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G643" i="1"/>
  <c r="G644" i="1"/>
  <c r="G651" i="1"/>
  <c r="G652" i="1"/>
  <c r="H652" i="1"/>
  <c r="G653" i="1"/>
  <c r="H653" i="1"/>
  <c r="G654" i="1"/>
  <c r="H654" i="1"/>
  <c r="H655" i="1"/>
  <c r="J655" i="1" s="1"/>
  <c r="H476" i="1" l="1"/>
  <c r="H624" i="1" s="1"/>
  <c r="H661" i="1"/>
  <c r="D18" i="13"/>
  <c r="C18" i="13" s="1"/>
  <c r="G461" i="1"/>
  <c r="H640" i="1" s="1"/>
  <c r="J640" i="1" s="1"/>
  <c r="K550" i="1"/>
  <c r="G552" i="1"/>
  <c r="E121" i="2"/>
  <c r="C121" i="2"/>
  <c r="H662" i="1"/>
  <c r="D29" i="13"/>
  <c r="C29" i="13" s="1"/>
  <c r="J651" i="1"/>
  <c r="G476" i="1"/>
  <c r="H623" i="1" s="1"/>
  <c r="J623" i="1" s="1"/>
  <c r="I446" i="1"/>
  <c r="G642" i="1" s="1"/>
  <c r="F338" i="1"/>
  <c r="F352" i="1" s="1"/>
  <c r="J140" i="1"/>
  <c r="H140" i="1"/>
  <c r="H257" i="1"/>
  <c r="H271" i="1" s="1"/>
  <c r="D18" i="2"/>
  <c r="G545" i="1"/>
  <c r="L544" i="1"/>
  <c r="H545" i="1"/>
  <c r="J643" i="1"/>
  <c r="D50" i="2"/>
  <c r="K545" i="1"/>
  <c r="F476" i="1"/>
  <c r="H622" i="1" s="1"/>
  <c r="J622" i="1" s="1"/>
  <c r="F461" i="1"/>
  <c r="H639" i="1" s="1"/>
  <c r="G338" i="1"/>
  <c r="G352" i="1" s="1"/>
  <c r="G257" i="1"/>
  <c r="G271" i="1" s="1"/>
  <c r="J552" i="1"/>
  <c r="F552" i="1"/>
  <c r="H112" i="1"/>
  <c r="A13" i="12"/>
  <c r="A31" i="12"/>
  <c r="C32" i="10"/>
  <c r="L309" i="1"/>
  <c r="I369" i="1"/>
  <c r="H634" i="1" s="1"/>
  <c r="J634" i="1" s="1"/>
  <c r="D19" i="13"/>
  <c r="C19" i="13" s="1"/>
  <c r="C114" i="2"/>
  <c r="G662" i="1"/>
  <c r="D12" i="13"/>
  <c r="C12" i="13" s="1"/>
  <c r="C119" i="2"/>
  <c r="C125" i="2"/>
  <c r="E8" i="13"/>
  <c r="C8" i="13" s="1"/>
  <c r="D5" i="13"/>
  <c r="C5" i="13" s="1"/>
  <c r="E123" i="2"/>
  <c r="K605" i="1"/>
  <c r="G648" i="1" s="1"/>
  <c r="L570" i="1"/>
  <c r="L534" i="1"/>
  <c r="L419" i="1"/>
  <c r="E78" i="2"/>
  <c r="F78" i="2"/>
  <c r="F81" i="2" s="1"/>
  <c r="E58" i="2"/>
  <c r="E62" i="2" s="1"/>
  <c r="E63" i="2" s="1"/>
  <c r="L328" i="1"/>
  <c r="C123" i="2"/>
  <c r="C18" i="10"/>
  <c r="E13" i="13"/>
  <c r="C13" i="13" s="1"/>
  <c r="E119" i="2"/>
  <c r="L256" i="1"/>
  <c r="I257" i="1"/>
  <c r="I271" i="1" s="1"/>
  <c r="F192" i="1"/>
  <c r="C78" i="2"/>
  <c r="D62" i="2"/>
  <c r="D63" i="2" s="1"/>
  <c r="C16" i="10"/>
  <c r="C11" i="10"/>
  <c r="C112" i="2"/>
  <c r="H461" i="1"/>
  <c r="H641" i="1" s="1"/>
  <c r="J641" i="1" s="1"/>
  <c r="H338" i="1"/>
  <c r="H352" i="1" s="1"/>
  <c r="F257" i="1"/>
  <c r="F271" i="1" s="1"/>
  <c r="H192" i="1"/>
  <c r="G161" i="2"/>
  <c r="F130" i="2"/>
  <c r="F144" i="2" s="1"/>
  <c r="F145" i="2" s="1"/>
  <c r="G62" i="2"/>
  <c r="G63" i="2" s="1"/>
  <c r="J644" i="1"/>
  <c r="D91" i="2"/>
  <c r="C91" i="2"/>
  <c r="J545" i="1"/>
  <c r="K257" i="1"/>
  <c r="K271" i="1" s="1"/>
  <c r="I169" i="1"/>
  <c r="G645" i="1"/>
  <c r="J645" i="1" s="1"/>
  <c r="I460" i="1"/>
  <c r="I452" i="1"/>
  <c r="K338" i="1"/>
  <c r="K352" i="1" s="1"/>
  <c r="E110" i="2"/>
  <c r="D81" i="2"/>
  <c r="E131" i="2"/>
  <c r="C26" i="10"/>
  <c r="F112" i="1"/>
  <c r="E122" i="2"/>
  <c r="E118" i="2"/>
  <c r="C10" i="10"/>
  <c r="L247" i="1"/>
  <c r="C12" i="10"/>
  <c r="E16" i="13"/>
  <c r="C16" i="13" s="1"/>
  <c r="C17" i="10"/>
  <c r="D7" i="13"/>
  <c r="C7" i="13" s="1"/>
  <c r="L290" i="1"/>
  <c r="F571" i="1"/>
  <c r="L565" i="1"/>
  <c r="H571" i="1"/>
  <c r="L524" i="1"/>
  <c r="L427" i="1"/>
  <c r="G164" i="2"/>
  <c r="G156" i="2"/>
  <c r="E142" i="2"/>
  <c r="G81" i="2"/>
  <c r="D31" i="2"/>
  <c r="F18" i="2"/>
  <c r="C132" i="2"/>
  <c r="L270" i="1"/>
  <c r="K551" i="1"/>
  <c r="K552" i="1" s="1"/>
  <c r="H552" i="1"/>
  <c r="K549" i="1"/>
  <c r="J639" i="1"/>
  <c r="I545" i="1"/>
  <c r="L433" i="1"/>
  <c r="E103" i="2"/>
  <c r="C70" i="2"/>
  <c r="L211" i="1"/>
  <c r="F660" i="1" s="1"/>
  <c r="C13" i="10"/>
  <c r="L401" i="1"/>
  <c r="C139" i="2" s="1"/>
  <c r="L393" i="1"/>
  <c r="C138" i="2" s="1"/>
  <c r="A40" i="12"/>
  <c r="E114" i="2"/>
  <c r="D17" i="13"/>
  <c r="C17" i="13" s="1"/>
  <c r="C21" i="10"/>
  <c r="D14" i="13"/>
  <c r="C14" i="13" s="1"/>
  <c r="C118" i="2"/>
  <c r="L229" i="1"/>
  <c r="C122" i="2"/>
  <c r="F22" i="13"/>
  <c r="C22" i="13" s="1"/>
  <c r="G650" i="1"/>
  <c r="J650" i="1" s="1"/>
  <c r="K598" i="1"/>
  <c r="G647" i="1" s="1"/>
  <c r="I571" i="1"/>
  <c r="J571" i="1"/>
  <c r="K571" i="1"/>
  <c r="L560" i="1"/>
  <c r="K500" i="1"/>
  <c r="I476" i="1"/>
  <c r="H625" i="1" s="1"/>
  <c r="J257" i="1"/>
  <c r="J271" i="1" s="1"/>
  <c r="G192" i="1"/>
  <c r="G157" i="2"/>
  <c r="C20" i="10"/>
  <c r="I52" i="1"/>
  <c r="H620" i="1" s="1"/>
  <c r="J620" i="1" s="1"/>
  <c r="J624" i="1"/>
  <c r="E31" i="2"/>
  <c r="H52" i="1"/>
  <c r="H619" i="1" s="1"/>
  <c r="J619" i="1" s="1"/>
  <c r="J617" i="1"/>
  <c r="C18" i="2"/>
  <c r="E109" i="2"/>
  <c r="C62" i="2"/>
  <c r="F661" i="1"/>
  <c r="I661" i="1" s="1"/>
  <c r="C19" i="10"/>
  <c r="C15" i="10"/>
  <c r="G112" i="1"/>
  <c r="L539" i="1"/>
  <c r="K503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L382" i="1"/>
  <c r="G636" i="1" s="1"/>
  <c r="J636" i="1" s="1"/>
  <c r="H25" i="13"/>
  <c r="E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C27" i="10"/>
  <c r="G635" i="1"/>
  <c r="J635" i="1" s="1"/>
  <c r="E144" i="2" l="1"/>
  <c r="D51" i="2"/>
  <c r="E51" i="2"/>
  <c r="H193" i="1"/>
  <c r="G629" i="1" s="1"/>
  <c r="J629" i="1" s="1"/>
  <c r="J625" i="1"/>
  <c r="H660" i="1"/>
  <c r="H664" i="1" s="1"/>
  <c r="H672" i="1" s="1"/>
  <c r="C6" i="10" s="1"/>
  <c r="L571" i="1"/>
  <c r="G660" i="1"/>
  <c r="G664" i="1" s="1"/>
  <c r="G667" i="1" s="1"/>
  <c r="I662" i="1"/>
  <c r="E33" i="13"/>
  <c r="D35" i="13" s="1"/>
  <c r="C115" i="2"/>
  <c r="E104" i="2"/>
  <c r="L545" i="1"/>
  <c r="C128" i="2"/>
  <c r="E128" i="2"/>
  <c r="D31" i="13"/>
  <c r="C31" i="13" s="1"/>
  <c r="L434" i="1"/>
  <c r="L338" i="1"/>
  <c r="L352" i="1" s="1"/>
  <c r="G633" i="1" s="1"/>
  <c r="J633" i="1" s="1"/>
  <c r="C81" i="2"/>
  <c r="G104" i="2"/>
  <c r="G51" i="2"/>
  <c r="D104" i="2"/>
  <c r="F193" i="1"/>
  <c r="G627" i="1" s="1"/>
  <c r="J627" i="1" s="1"/>
  <c r="C36" i="10"/>
  <c r="F104" i="2"/>
  <c r="C28" i="10"/>
  <c r="D23" i="10" s="1"/>
  <c r="C39" i="10"/>
  <c r="L257" i="1"/>
  <c r="L271" i="1" s="1"/>
  <c r="G632" i="1" s="1"/>
  <c r="J632" i="1" s="1"/>
  <c r="C141" i="2"/>
  <c r="C144" i="2" s="1"/>
  <c r="I193" i="1"/>
  <c r="G630" i="1" s="1"/>
  <c r="J630" i="1" s="1"/>
  <c r="J647" i="1"/>
  <c r="E115" i="2"/>
  <c r="I461" i="1"/>
  <c r="H642" i="1" s="1"/>
  <c r="J642" i="1" s="1"/>
  <c r="F51" i="2"/>
  <c r="H648" i="1"/>
  <c r="J648" i="1" s="1"/>
  <c r="C63" i="2"/>
  <c r="C104" i="2" s="1"/>
  <c r="C25" i="13"/>
  <c r="H33" i="13"/>
  <c r="L408" i="1"/>
  <c r="F664" i="1"/>
  <c r="C51" i="2"/>
  <c r="G631" i="1"/>
  <c r="J631" i="1" s="1"/>
  <c r="G193" i="1"/>
  <c r="G628" i="1" s="1"/>
  <c r="J628" i="1" s="1"/>
  <c r="G626" i="1"/>
  <c r="J52" i="1"/>
  <c r="H621" i="1" s="1"/>
  <c r="J621" i="1" s="1"/>
  <c r="C38" i="10"/>
  <c r="G638" i="1" l="1"/>
  <c r="J472" i="1"/>
  <c r="C145" i="2"/>
  <c r="G672" i="1"/>
  <c r="C5" i="10" s="1"/>
  <c r="I660" i="1"/>
  <c r="I664" i="1" s="1"/>
  <c r="I672" i="1" s="1"/>
  <c r="C7" i="10" s="1"/>
  <c r="H667" i="1"/>
  <c r="D33" i="13"/>
  <c r="D36" i="13" s="1"/>
  <c r="E145" i="2"/>
  <c r="D13" i="10"/>
  <c r="D25" i="10"/>
  <c r="D19" i="10"/>
  <c r="D18" i="10"/>
  <c r="D22" i="10"/>
  <c r="D17" i="10"/>
  <c r="D27" i="10"/>
  <c r="D15" i="10"/>
  <c r="D21" i="10"/>
  <c r="D20" i="10"/>
  <c r="D11" i="10"/>
  <c r="D12" i="10"/>
  <c r="D24" i="10"/>
  <c r="D10" i="10"/>
  <c r="D26" i="10"/>
  <c r="C30" i="10"/>
  <c r="D16" i="10"/>
  <c r="G637" i="1"/>
  <c r="J637" i="1" s="1"/>
  <c r="H646" i="1"/>
  <c r="J646" i="1" s="1"/>
  <c r="F672" i="1"/>
  <c r="C4" i="10" s="1"/>
  <c r="F667" i="1"/>
  <c r="I667" i="1"/>
  <c r="C41" i="10"/>
  <c r="D38" i="10" s="1"/>
  <c r="J474" i="1" l="1"/>
  <c r="J476" i="1" s="1"/>
  <c r="H626" i="1" s="1"/>
  <c r="J626" i="1" s="1"/>
  <c r="H638" i="1"/>
  <c r="J638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<sst xmlns="http://schemas.openxmlformats.org/spreadsheetml/2006/main" count="3958" uniqueCount="915">
  <si>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</si>
  <si>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</si>
  <si>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</si>
  <si>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</si>
  <si>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</si>
  <si>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</si>
  <si>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</si>
  <si>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</si>
  <si>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</si>
  <si>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</si>
  <si>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</si>
  <si>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</si>
  <si>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</si>
  <si>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</si>
  <si>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</si>
  <si>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</si>
  <si>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</si>
  <si>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</si>
  <si>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</si>
  <si>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</si>
  <si>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</si>
  <si>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</si>
  <si>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</si>
  <si>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</si>
  <si>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</si>
  <si>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</si>
  <si>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</si>
  <si>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</si>
  <si>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</si>
  <si>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</si>
  <si>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</si>
  <si>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</si>
  <si>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</si>
  <si>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</si>
  <si>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</si>
  <si>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</si>
  <si>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</si>
  <si>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</si>
  <si>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</si>
  <si>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</si>
  <si>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</si>
  <si>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</si>
  <si>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</si>
  <si>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</si>
  <si>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</si>
  <si>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</si>
  <si>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</si>
  <si>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</si>
  <si>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</si>
  <si>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</si>
  <si>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</si>
  <si>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</si>
  <si>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</si>
  <si>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</si>
  <si>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</si>
  <si>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</si>
  <si>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</si>
  <si>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</si>
  <si>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</si>
  <si>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</si>
  <si>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</si>
  <si>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</si>
  <si>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</si>
  <si>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</si>
  <si>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</si>
  <si>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</si>
  <si>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</si>
  <si>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</si>
  <si>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</si>
  <si>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</si>
  <si>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</si>
  <si>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</si>
  <si>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</si>
  <si>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</si>
  <si>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</si>
  <si>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</si>
  <si>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</si>
  <si>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</si>
  <si>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</si>
  <si>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</si>
  <si>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</si>
  <si>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</si>
  <si>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</si>
  <si>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</si>
  <si>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</si>
  <si>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</si>
  <si>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</si>
  <si>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</si>
  <si>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</si>
  <si>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</si>
  <si>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</si>
  <si>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</si>
  <si>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</si>
  <si>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</si>
  <si>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</si>
  <si>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</si>
  <si>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</si>
  <si>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</si>
  <si>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</si>
  <si>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</si>
  <si>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</si>
  <si>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</si>
  <si>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</si>
  <si>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</si>
  <si>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</si>
  <si>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</si>
  <si>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</si>
  <si>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</si>
  <si>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</si>
  <si>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</si>
  <si>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</si>
  <si>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</si>
  <si>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</si>
  <si>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</si>
  <si>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</si>
  <si>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</si>
  <si>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</si>
  <si>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</si>
  <si>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</si>
  <si>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</si>
  <si>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</si>
  <si>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</si>
  <si>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</si>
  <si>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</si>
  <si>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</si>
  <si>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</si>
  <si>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</si>
  <si>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</si>
  <si>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</si>
  <si>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</si>
  <si>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</si>
  <si>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</si>
  <si>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</si>
  <si>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</si>
  <si>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</si>
  <si>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</si>
  <si>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</si>
  <si>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</si>
  <si>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</si>
  <si>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</si>
  <si>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</si>
  <si>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</si>
  <si>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</si>
  <si>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</si>
  <si>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</si>
  <si>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</si>
  <si>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</si>
  <si>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</si>
  <si>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</si>
  <si>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</si>
  <si>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</si>
  <si>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</si>
  <si>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</si>
  <si>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</si>
  <si>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</si>
  <si>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</si>
  <si>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</si>
  <si>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</si>
  <si>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</si>
  <si>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</si>
  <si>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</si>
  <si>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</si>
  <si>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</si>
  <si>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</si>
  <si>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</si>
  <si>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</si>
  <si>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</si>
  <si>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</si>
  <si>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</si>
  <si>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</si>
  <si>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</si>
  <si>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</si>
  <si>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</si>
  <si>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</si>
  <si>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</si>
  <si>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</si>
  <si>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</si>
  <si>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</si>
  <si>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</si>
  <si>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</si>
  <si>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</si>
  <si>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</si>
  <si>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</si>
  <si>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</si>
  <si>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</si>
  <si>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</si>
  <si>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</si>
  <si>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</si>
  <si>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</si>
  <si>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</si>
  <si>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</si>
  <si>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</si>
  <si>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</si>
  <si>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</si>
  <si>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</si>
  <si>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</si>
  <si>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</si>
  <si>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</si>
  <si>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</si>
  <si>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</si>
  <si>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</si>
  <si>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</si>
  <si>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</si>
  <si>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</si>
  <si>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</si>
  <si>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</si>
  <si>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</si>
  <si>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</si>
  <si>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</si>
  <si>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</si>
  <si>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</si>
  <si>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</si>
  <si>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</si>
  <si>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</si>
  <si>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</si>
  <si>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</si>
  <si>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</si>
  <si>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</si>
  <si>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</si>
  <si>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</si>
  <si>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</si>
  <si>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</si>
  <si>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</si>
  <si>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</si>
  <si>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</si>
  <si>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</si>
  <si>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</si>
  <si>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</si>
  <si>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</si>
  <si>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</si>
  <si>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</si>
  <si>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</si>
  <si>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</si>
  <si>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</si>
  <si>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</si>
  <si>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</si>
  <si>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</si>
  <si>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</si>
  <si>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</si>
  <si>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</si>
  <si>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</si>
  <si>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</si>
  <si>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</si>
  <si>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</si>
  <si>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</si>
  <si>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</si>
  <si>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</si>
  <si>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</si>
  <si>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</si>
  <si>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</si>
  <si>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</si>
  <si>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</si>
  <si>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</si>
  <si>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</si>
  <si>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</si>
  <si>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</si>
  <si>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</si>
  <si>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</si>
  <si>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</si>
  <si>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</si>
  <si>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</si>
  <si>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</si>
  <si>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</si>
  <si>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</si>
  <si>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</si>
  <si>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</si>
  <si>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</si>
  <si>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</si>
  <si>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</si>
  <si>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</si>
  <si>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</si>
  <si>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</si>
  <si>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</si>
  <si>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</si>
  <si>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</si>
  <si>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</si>
  <si>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</si>
  <si>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</si>
  <si>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</si>
  <si>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</si>
  <si>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</si>
  <si>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</si>
  <si>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</si>
  <si>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</si>
  <si>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</si>
  <si>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</si>
  <si>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</si>
  <si>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</si>
  <si>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</si>
  <si>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</si>
  <si>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</si>
  <si>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</si>
  <si>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</si>
  <si>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</si>
  <si>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</si>
  <si>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</si>
  <si>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</si>
  <si>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</si>
  <si>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</si>
  <si>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</si>
  <si>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</si>
  <si>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</si>
  <si>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</si>
  <si>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</si>
  <si>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</si>
  <si>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</si>
  <si>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</si>
  <si>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</si>
  <si>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</si>
  <si>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</si>
  <si>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</si>
  <si>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</si>
  <si>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</si>
  <si>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</si>
  <si>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</si>
  <si>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</si>
  <si>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</si>
  <si>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</si>
  <si>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</si>
  <si>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</si>
  <si>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</si>
  <si>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</si>
  <si>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</si>
  <si>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</si>
  <si>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</si>
  <si>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</si>
  <si>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</si>
  <si>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</si>
  <si>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</si>
  <si>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</si>
  <si>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</si>
  <si>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</si>
  <si>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</si>
  <si>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</si>
  <si>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</si>
  <si>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</si>
  <si>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</si>
  <si>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</si>
  <si>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</si>
  <si>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</si>
  <si>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</si>
  <si>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</si>
  <si>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</si>
  <si>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</si>
  <si>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</si>
  <si>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</si>
  <si>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</si>
  <si>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</si>
  <si>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</si>
  <si>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</si>
  <si>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</si>
  <si>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</si>
  <si>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</si>
  <si>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</si>
  <si>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</si>
  <si>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</si>
  <si>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</si>
  <si>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</si>
  <si>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</si>
  <si>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</si>
  <si>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</si>
  <si>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</si>
  <si>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</si>
  <si>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</si>
  <si>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</si>
  <si>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</si>
  <si>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</si>
  <si>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</si>
  <si>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</si>
  <si>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</si>
  <si>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</si>
  <si>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</si>
  <si>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</si>
  <si>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</si>
  <si>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</si>
  <si>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</si>
  <si>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</si>
  <si>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</si>
  <si>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</si>
  <si>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</si>
  <si>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</si>
  <si>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</si>
  <si>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</si>
  <si>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</si>
  <si>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</si>
  <si>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</si>
  <si>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</si>
  <si>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</si>
  <si>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</si>
  <si>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</si>
  <si>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</si>
  <si>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</si>
  <si>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</si>
  <si>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</si>
  <si>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</si>
  <si>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</si>
  <si>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</si>
  <si>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</si>
  <si>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</si>
  <si>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</si>
  <si>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</si>
  <si>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</si>
  <si>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</si>
  <si>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</si>
  <si>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</si>
  <si>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</si>
  <si>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</si>
  <si>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</si>
  <si>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</si>
  <si>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</si>
  <si>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</si>
  <si>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</si>
  <si>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</si>
  <si>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</si>
  <si>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</si>
  <si>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</si>
  <si>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</si>
  <si>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</si>
  <si>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</si>
  <si>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</si>
  <si>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</si>
  <si>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</si>
  <si>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</si>
  <si>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</si>
  <si>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</si>
  <si>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</si>
  <si>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</si>
  <si>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</si>
  <si>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</si>
  <si>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</si>
  <si>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</si>
  <si>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</si>
  <si>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</si>
  <si>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</si>
  <si>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</si>
  <si>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</si>
  <si>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</si>
  <si>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</si>
  <si>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</si>
  <si>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</si>
  <si>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</si>
  <si>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</si>
  <si>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</si>
  <si>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</si>
  <si>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</si>
  <si>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</si>
  <si>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</si>
  <si>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</si>
  <si>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</si>
  <si>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</si>
  <si>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</si>
  <si>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</si>
  <si>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</si>
  <si>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</si>
  <si>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</si>
  <si>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</si>
  <si>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</si>
  <si>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</si>
  <si>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</si>
  <si>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</si>
  <si>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</si>
  <si>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</si>
  <si>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</si>
  <si>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</si>
  <si>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</si>
  <si>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</si>
  <si>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</si>
  <si>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</si>
  <si>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</si>
  <si>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</si>
  <si>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</si>
  <si>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</si>
  <si>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</si>
  <si>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</si>
  <si>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</si>
  <si>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</si>
  <si>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</si>
  <si>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</si>
  <si>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</si>
  <si>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</si>
  <si>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</si>
  <si>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</si>
  <si>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</si>
  <si>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</si>
  <si>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</si>
  <si>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</si>
  <si>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</si>
  <si>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</si>
  <si>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</si>
  <si>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</si>
  <si>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</si>
  <si>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</si>
  <si>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</si>
  <si>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</si>
  <si>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</si>
  <si>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</si>
  <si>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</si>
  <si>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</si>
  <si>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</si>
  <si>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</si>
  <si>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</si>
  <si>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</si>
  <si>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</si>
  <si>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</si>
  <si>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</si>
  <si>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</si>
  <si>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</si>
  <si>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</si>
  <si>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</si>
  <si>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</si>
  <si>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</si>
  <si>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</si>
  <si>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</si>
  <si>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</si>
  <si>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</si>
  <si>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</si>
  <si>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</si>
  <si>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</si>
  <si>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</si>
  <si>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</si>
  <si>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</si>
  <si>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</si>
  <si>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</si>
  <si>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</si>
  <si>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</si>
  <si>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</si>
  <si>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</si>
  <si>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</si>
  <si>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</si>
  <si>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</si>
  <si>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</si>
  <si>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</si>
  <si>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</si>
  <si>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</si>
  <si>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</si>
  <si>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</si>
  <si>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</si>
  <si>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</si>
  <si>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</si>
  <si>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</si>
  <si>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</si>
  <si>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</si>
  <si>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</si>
  <si>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</si>
  <si>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</si>
  <si>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</si>
  <si>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</si>
  <si>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</si>
  <si>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</si>
  <si>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</si>
  <si>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</si>
  <si>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</si>
  <si>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</si>
  <si>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</si>
  <si>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</si>
  <si>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</si>
  <si>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</si>
  <si>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</si>
  <si>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</si>
  <si>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</si>
  <si>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</si>
  <si>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</si>
  <si>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</si>
  <si>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</si>
  <si>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</si>
  <si>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</si>
  <si>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</si>
  <si>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</si>
  <si>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</si>
  <si>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</si>
  <si>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</si>
  <si>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</si>
  <si>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</si>
  <si>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</si>
  <si>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</si>
  <si>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</si>
  <si>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</si>
  <si>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</si>
  <si>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</si>
  <si>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</si>
  <si>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</si>
  <si>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</si>
  <si>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</si>
  <si>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</si>
  <si>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</si>
  <si>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</si>
  <si>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</si>
  <si>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</si>
  <si>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</si>
  <si>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</si>
  <si>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</si>
  <si>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</si>
  <si>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</si>
  <si>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</si>
  <si>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</si>
  <si>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</si>
  <si>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</si>
  <si>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</si>
  <si>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</si>
  <si>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</si>
  <si>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</si>
  <si>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</si>
  <si>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</si>
  <si>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</si>
  <si>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</si>
  <si>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</si>
  <si>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</si>
  <si>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</si>
  <si>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</si>
  <si>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</si>
  <si>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</si>
  <si>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</si>
  <si>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</si>
  <si>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</si>
  <si>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</si>
  <si>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</si>
  <si>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</si>
  <si>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</si>
  <si>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</si>
  <si>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</si>
  <si>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</si>
  <si>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</si>
  <si>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</si>
  <si>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</si>
  <si>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</si>
  <si>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</si>
  <si>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</si>
  <si>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</si>
  <si>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</si>
  <si>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</si>
  <si>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</si>
  <si>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</si>
  <si>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</si>
  <si>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</si>
  <si>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</si>
  <si>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</si>
  <si>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</si>
  <si>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</si>
  <si>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</si>
  <si>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</si>
  <si>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</si>
  <si>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</si>
  <si>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</si>
  <si>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</si>
  <si>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</si>
  <si>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</si>
  <si>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</si>
  <si>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</si>
  <si>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</si>
  <si>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</si>
  <si>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</si>
  <si>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</si>
  <si>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</si>
  <si>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</si>
  <si>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</si>
  <si>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</si>
  <si>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</si>
  <si>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</si>
  <si>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</si>
  <si>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</si>
  <si>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</si>
  <si>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</si>
  <si>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</si>
  <si>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</si>
  <si>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</si>
  <si>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</si>
  <si>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</si>
  <si>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</si>
  <si>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</si>
  <si>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</si>
  <si>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</si>
  <si>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</si>
  <si>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</si>
  <si>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</si>
  <si>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</si>
  <si>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</si>
  <si>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</si>
  <si>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</si>
  <si>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</si>
  <si>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</si>
  <si>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</si>
  <si>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</si>
  <si>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</si>
  <si>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</si>
  <si>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</si>
  <si>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</si>
  <si>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</si>
  <si>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</si>
  <si>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</si>
  <si>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</si>
  <si>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</si>
  <si>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</si>
  <si>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</si>
  <si>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</si>
  <si>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</si>
  <si>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</si>
  <si>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</si>
  <si>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</si>
  <si>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</si>
  <si>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</si>
  <si>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</si>
  <si>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</si>
  <si>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</si>
  <si>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</si>
  <si>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</si>
  <si>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</si>
  <si>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</si>
  <si>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</si>
  <si>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</si>
  <si>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</si>
  <si>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</si>
  <si>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</si>
  <si>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</si>
  <si>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</si>
  <si>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</si>
  <si>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</si>
  <si>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</si>
  <si>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</si>
  <si>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</si>
  <si>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</si>
  <si>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</si>
  <si>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</si>
  <si>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</si>
  <si>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</si>
  <si>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</si>
  <si>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</si>
  <si>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</si>
  <si>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</si>
  <si>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</si>
  <si>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</si>
  <si>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</si>
  <si>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</si>
  <si>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</si>
  <si>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</si>
  <si>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</si>
  <si>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</si>
  <si>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</si>
  <si>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</si>
  <si>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</si>
  <si>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</si>
  <si>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</si>
  <si>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</si>
  <si>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</si>
  <si>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</si>
  <si>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</si>
  <si>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</si>
  <si>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</si>
  <si>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</si>
  <si>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</si>
  <si>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</si>
  <si>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</si>
  <si>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</si>
  <si>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</si>
  <si>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</si>
  <si>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</si>
  <si>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</si>
  <si>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</si>
  <si>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</si>
  <si>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</si>
  <si>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</si>
  <si>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</si>
  <si>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</si>
  <si>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</si>
  <si>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</si>
  <si>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</si>
  <si>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</si>
  <si>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</si>
  <si>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</si>
  <si>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</si>
  <si>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</si>
  <si>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</si>
  <si>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</si>
  <si>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</si>
  <si>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</si>
  <si>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</si>
  <si>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</si>
  <si>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</si>
  <si>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</si>
  <si>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</si>
  <si>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</si>
  <si>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</si>
  <si>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</si>
  <si>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</si>
  <si>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</si>
  <si>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</si>
  <si>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</si>
  <si>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</si>
  <si>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</si>
  <si>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</si>
  <si>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</si>
  <si>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</si>
  <si>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</si>
  <si>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</si>
  <si>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</si>
  <si>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</si>
  <si>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</si>
  <si>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</si>
  <si>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</si>
  <si>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</si>
  <si>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</si>
  <si>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</si>
  <si>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</si>
  <si>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</si>
  <si>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</si>
  <si>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</si>
  <si>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</si>
  <si>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</si>
  <si>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</si>
  <si>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</si>
  <si>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</si>
  <si>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</si>
  <si>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</si>
  <si>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</si>
  <si>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</si>
  <si>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</si>
  <si>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</si>
  <si>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</si>
  <si>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</si>
  <si>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</si>
  <si>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</si>
  <si>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</si>
  <si>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</si>
  <si>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</si>
  <si>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</si>
  <si>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</si>
  <si>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</si>
  <si>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</si>
  <si>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</si>
  <si>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</si>
  <si>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</si>
  <si>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</si>
  <si>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</si>
  <si>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</si>
  <si>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</si>
  <si>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</si>
  <si>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</si>
  <si>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</si>
  <si>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</si>
  <si>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</si>
  <si>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</si>
  <si>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</si>
  <si>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</si>
  <si>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</si>
  <si>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</si>
  <si>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</si>
  <si>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</si>
  <si>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</si>
  <si>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</si>
  <si>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</si>
  <si>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</si>
  <si>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</si>
  <si>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</si>
  <si>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</si>
  <si>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</si>
  <si>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</si>
  <si>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</si>
  <si>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</si>
  <si>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</si>
  <si>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</si>
  <si>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</si>
  <si>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</si>
  <si>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</si>
  <si>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</si>
  <si>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</si>
  <si>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</si>
  <si>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</si>
  <si>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</si>
  <si>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</si>
  <si>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</si>
  <si>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</si>
  <si>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</si>
  <si>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</si>
  <si>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</si>
  <si>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</si>
  <si>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</si>
  <si>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</si>
  <si>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</si>
  <si>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</si>
  <si>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</si>
  <si>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</si>
  <si>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</si>
  <si>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</si>
  <si>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</si>
  <si>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</si>
  <si>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</si>
  <si>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</si>
  <si>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</si>
  <si>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</si>
  <si>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</si>
  <si>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</si>
  <si>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</si>
  <si>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</si>
  <si>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</si>
  <si>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</si>
  <si>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</si>
  <si>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</si>
  <si>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</si>
  <si>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</si>
  <si>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</si>
  <si>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</si>
  <si>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</si>
  <si>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</si>
  <si>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</si>
  <si>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</si>
  <si>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</si>
  <si>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</si>
  <si>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</si>
  <si>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</si>
  <si>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</si>
  <si>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</si>
  <si>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</si>
  <si>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SOUHEGAN COOPERATIVE SCHOOL DISTRICT</t>
  </si>
  <si>
    <t>Agency Funds</t>
  </si>
  <si>
    <t>07/13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</si>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</sst>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493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94608.960000000006</v>
      </c>
      <c r="G9" s="18">
        <v>0</v>
      </c>
      <c r="H9" s="18">
        <v>0</v>
      </c>
      <c r="I9" s="18">
        <v>7227.37</v>
      </c>
      <c r="J9" s="67">
        <f>SUM(I439)</f>
        <v>149284.87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424807.55</v>
      </c>
      <c r="G10" s="18">
        <v>0</v>
      </c>
      <c r="H10" s="18">
        <v>0</v>
      </c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65722.62</v>
      </c>
      <c r="G12" s="18">
        <v>0</v>
      </c>
      <c r="H12" s="18">
        <v>0</v>
      </c>
      <c r="I12" s="18"/>
      <c r="J12" s="67">
        <f>SUM(I441)</f>
        <v>409.1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5748.37</v>
      </c>
      <c r="G13" s="18">
        <v>15124.44</v>
      </c>
      <c r="H13" s="18">
        <v>66605.240000000005</v>
      </c>
      <c r="I13" s="18"/>
      <c r="J13" s="67">
        <f>SUM(I442)</f>
        <v>403143.91000000003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5892.75</v>
      </c>
      <c r="G14" s="18">
        <v>240.95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11397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608177.25</v>
      </c>
      <c r="G19" s="41">
        <f>SUM(G9:G18)</f>
        <v>15365.390000000001</v>
      </c>
      <c r="H19" s="41">
        <f>SUM(H9:H18)</f>
        <v>66605.240000000005</v>
      </c>
      <c r="I19" s="41">
        <f>SUM(I9:I18)</f>
        <v>7227.37</v>
      </c>
      <c r="J19" s="41">
        <f>SUM(J9:J18)</f>
        <v>552837.88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17965.55</v>
      </c>
      <c r="G22" s="18">
        <v>1861.91</v>
      </c>
      <c r="H22" s="18">
        <v>46254.26</v>
      </c>
      <c r="I22" s="18">
        <v>50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1680.28</v>
      </c>
      <c r="G23" s="18">
        <v>11616.66</v>
      </c>
      <c r="H23" s="18">
        <v>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170097.93</v>
      </c>
      <c r="G24" s="18">
        <v>1739</v>
      </c>
      <c r="H24" s="18">
        <v>4465.7700000000004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1932.5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8447.57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4746.4799999999996</v>
      </c>
      <c r="G30" s="18">
        <v>0</v>
      </c>
      <c r="H30" s="18">
        <v>15885.21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228.02</v>
      </c>
      <c r="G31" s="18">
        <v>0</v>
      </c>
      <c r="H31" s="18">
        <v>0</v>
      </c>
      <c r="I31" s="18"/>
      <c r="J31" s="67">
        <f>SUM(I451)</f>
        <v>149284.87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205098.33</v>
      </c>
      <c r="G32" s="41">
        <f>SUM(G22:G31)</f>
        <v>15217.57</v>
      </c>
      <c r="H32" s="41">
        <f>SUM(H22:H31)</f>
        <v>66605.239999999991</v>
      </c>
      <c r="I32" s="41">
        <f>SUM(I22:I31)</f>
        <v>50</v>
      </c>
      <c r="J32" s="41">
        <f>SUM(J22:J31)</f>
        <v>149284.87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43.15+104.67</f>
        <v>147.82</v>
      </c>
      <c r="H48" s="18">
        <v>0</v>
      </c>
      <c r="I48" s="18">
        <f>0.01+7177.36</f>
        <v>7177.37</v>
      </c>
      <c r="J48" s="13">
        <f>SUM(I459)</f>
        <v>403553.00999999995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152550.91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-128171.03+378699.04-65000</f>
        <v>185528.00999999998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403078.92</v>
      </c>
      <c r="G51" s="41">
        <f>SUM(G35:G50)</f>
        <v>147.82</v>
      </c>
      <c r="H51" s="41">
        <f>SUM(H35:H50)</f>
        <v>0</v>
      </c>
      <c r="I51" s="41">
        <f>SUM(I35:I50)</f>
        <v>7177.37</v>
      </c>
      <c r="J51" s="41">
        <f>SUM(J35:J50)</f>
        <v>403553.00999999995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608177.25</v>
      </c>
      <c r="G52" s="41">
        <f>G51+G32</f>
        <v>15365.39</v>
      </c>
      <c r="H52" s="41">
        <f>H51+H32</f>
        <v>66605.239999999991</v>
      </c>
      <c r="I52" s="41">
        <f>I51+I32</f>
        <v>7227.37</v>
      </c>
      <c r="J52" s="41">
        <f>J51+J32</f>
        <v>552837.87999999989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12653652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12653652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71356.94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1400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12766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85522.94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4293.76</v>
      </c>
      <c r="G96" s="18"/>
      <c r="H96" s="18"/>
      <c r="I96" s="18">
        <v>145.13</v>
      </c>
      <c r="J96" s="18">
        <v>-62859.46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359575.1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141770.14000000001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6881.5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/>
      <c r="H102" s="18">
        <v>2980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0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3019.95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155014.54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2747.9</v>
      </c>
      <c r="H110" s="18"/>
      <c r="I110" s="18"/>
      <c r="J110" s="18">
        <v>23998.959999999999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310979.89</v>
      </c>
      <c r="G111" s="41">
        <f>SUM(G96:G110)</f>
        <v>362323</v>
      </c>
      <c r="H111" s="41">
        <f>SUM(H96:H110)</f>
        <v>2980</v>
      </c>
      <c r="I111" s="41">
        <f>SUM(I96:I110)</f>
        <v>145.13</v>
      </c>
      <c r="J111" s="41">
        <f>SUM(J96:J110)</f>
        <v>-38860.5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13050154.83</v>
      </c>
      <c r="G112" s="41">
        <f>G60+G111</f>
        <v>362323</v>
      </c>
      <c r="H112" s="41">
        <f>H60+H79+H94+H111</f>
        <v>2980</v>
      </c>
      <c r="I112" s="41">
        <f>I60+I111</f>
        <v>145.13</v>
      </c>
      <c r="J112" s="41">
        <f>J60+J111</f>
        <v>-38860.5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1716635.7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1596434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3313069.7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217849.54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2329.6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775.74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220179.14</v>
      </c>
      <c r="G136" s="41">
        <f>SUM(G123:G135)</f>
        <v>775.74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3533248.8400000003</v>
      </c>
      <c r="G140" s="41">
        <f>G121+SUM(G136:G137)</f>
        <v>775.74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18513.939999999999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29815.99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34791.74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172363.55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113717.82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113717.82</v>
      </c>
      <c r="G162" s="41">
        <f>SUM(G150:G161)</f>
        <v>34791.74</v>
      </c>
      <c r="H162" s="41">
        <f>SUM(H150:H161)</f>
        <v>220693.47999999998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113717.82</v>
      </c>
      <c r="G169" s="41">
        <f>G147+G162+SUM(G163:G168)</f>
        <v>34791.74</v>
      </c>
      <c r="H169" s="41">
        <f>H147+H162+SUM(H163:H168)</f>
        <v>220693.47999999998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1225000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1225000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3390.94</v>
      </c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3390.94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3390.94</v>
      </c>
      <c r="H192" s="41">
        <f>+H183+SUM(H188:H191)</f>
        <v>0</v>
      </c>
      <c r="I192" s="41">
        <f>I177+I183+SUM(I188:I191)</f>
        <v>1225000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16697121.49</v>
      </c>
      <c r="G193" s="47">
        <f>G112+G140+G169+G192</f>
        <v>401281.42</v>
      </c>
      <c r="H193" s="47">
        <f>H112+H140+H169+H192</f>
        <v>223673.47999999998</v>
      </c>
      <c r="I193" s="47">
        <f>I112+I140+I169+I192</f>
        <v>1225145.1299999999</v>
      </c>
      <c r="J193" s="47">
        <f>J112+J140+J192</f>
        <v>26139.5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5216032.63</v>
      </c>
      <c r="G233" s="18">
        <v>1981134.06</v>
      </c>
      <c r="H233" s="18">
        <v>18754.45</v>
      </c>
      <c r="I233" s="18">
        <v>171024.76</v>
      </c>
      <c r="J233" s="18">
        <v>149519.24</v>
      </c>
      <c r="K233" s="18">
        <v>2453</v>
      </c>
      <c r="L233" s="19">
        <f>SUM(F233:K233)</f>
        <v>7538918.1399999997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1676574.61</v>
      </c>
      <c r="G234" s="18">
        <v>739133.28</v>
      </c>
      <c r="H234" s="18">
        <v>1056559.8899999999</v>
      </c>
      <c r="I234" s="18">
        <v>9392.6</v>
      </c>
      <c r="J234" s="18">
        <v>18826.61</v>
      </c>
      <c r="K234" s="18">
        <v>0</v>
      </c>
      <c r="L234" s="19">
        <f>SUM(F234:K234)</f>
        <v>3500486.99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180590.46</v>
      </c>
      <c r="G236" s="18">
        <v>24243.439999999999</v>
      </c>
      <c r="H236" s="18">
        <v>156205.45000000001</v>
      </c>
      <c r="I236" s="18">
        <v>71834.179999999993</v>
      </c>
      <c r="J236" s="18">
        <v>0</v>
      </c>
      <c r="K236" s="18">
        <v>13102</v>
      </c>
      <c r="L236" s="19">
        <f>SUM(F236:K236)</f>
        <v>445975.52999999997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696847.02</v>
      </c>
      <c r="G238" s="18">
        <v>275886.92</v>
      </c>
      <c r="H238" s="18">
        <v>73195.44</v>
      </c>
      <c r="I238" s="18">
        <v>8708.07</v>
      </c>
      <c r="J238" s="18">
        <v>0</v>
      </c>
      <c r="K238" s="18">
        <v>0</v>
      </c>
      <c r="L238" s="19">
        <f t="shared" ref="L238:L244" si="4">SUM(F238:K238)</f>
        <v>1054637.45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246600.42</v>
      </c>
      <c r="G239" s="18">
        <v>163421.39000000001</v>
      </c>
      <c r="H239" s="18">
        <v>6793</v>
      </c>
      <c r="I239" s="18">
        <v>62936.85</v>
      </c>
      <c r="J239" s="18">
        <v>601.38</v>
      </c>
      <c r="K239" s="18">
        <v>0</v>
      </c>
      <c r="L239" s="19">
        <f t="shared" si="4"/>
        <v>480353.04000000004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7931.02</v>
      </c>
      <c r="G240" s="18">
        <v>528.6</v>
      </c>
      <c r="H240" s="18">
        <v>762939.18</v>
      </c>
      <c r="I240" s="18">
        <v>1092.6099999999999</v>
      </c>
      <c r="J240" s="18">
        <v>0</v>
      </c>
      <c r="K240" s="18">
        <v>4990.88</v>
      </c>
      <c r="L240" s="19">
        <f t="shared" si="4"/>
        <v>777482.29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474028.15</v>
      </c>
      <c r="G241" s="18">
        <v>198829.57</v>
      </c>
      <c r="H241" s="18">
        <v>39919.5</v>
      </c>
      <c r="I241" s="18">
        <v>10924.86</v>
      </c>
      <c r="J241" s="18">
        <v>0</v>
      </c>
      <c r="K241" s="18">
        <v>12092.32</v>
      </c>
      <c r="L241" s="19">
        <f t="shared" si="4"/>
        <v>735794.39999999991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3189.89</v>
      </c>
      <c r="I242" s="18">
        <v>0</v>
      </c>
      <c r="J242" s="18">
        <v>0</v>
      </c>
      <c r="K242" s="18">
        <v>0</v>
      </c>
      <c r="L242" s="19">
        <f t="shared" si="4"/>
        <v>3189.89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419800.45</v>
      </c>
      <c r="G243" s="18">
        <v>207369.25</v>
      </c>
      <c r="H243" s="18">
        <v>440322.27</v>
      </c>
      <c r="I243" s="18">
        <v>316082.45</v>
      </c>
      <c r="J243" s="18">
        <v>8224.2099999999991</v>
      </c>
      <c r="K243" s="18">
        <v>51.5</v>
      </c>
      <c r="L243" s="19">
        <f t="shared" si="4"/>
        <v>1391850.13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603276.67000000004</v>
      </c>
      <c r="I244" s="18">
        <v>70.06</v>
      </c>
      <c r="J244" s="18">
        <v>0</v>
      </c>
      <c r="K244" s="18">
        <v>0</v>
      </c>
      <c r="L244" s="19">
        <f t="shared" si="4"/>
        <v>603346.7300000001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172105.38</v>
      </c>
      <c r="G245" s="18">
        <v>53352.29</v>
      </c>
      <c r="H245" s="18">
        <v>13357.85</v>
      </c>
      <c r="I245" s="18">
        <v>41524.080000000002</v>
      </c>
      <c r="J245" s="18">
        <v>59014.28</v>
      </c>
      <c r="K245" s="18">
        <v>0</v>
      </c>
      <c r="L245" s="19">
        <f>SUM(F245:K245)</f>
        <v>339353.88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9090510.1400000006</v>
      </c>
      <c r="G247" s="41">
        <f t="shared" si="5"/>
        <v>3643898.8</v>
      </c>
      <c r="H247" s="41">
        <f t="shared" si="5"/>
        <v>3174513.59</v>
      </c>
      <c r="I247" s="41">
        <f t="shared" si="5"/>
        <v>693590.52</v>
      </c>
      <c r="J247" s="41">
        <f t="shared" si="5"/>
        <v>236185.71999999997</v>
      </c>
      <c r="K247" s="41">
        <f t="shared" si="5"/>
        <v>32689.7</v>
      </c>
      <c r="L247" s="41">
        <f t="shared" si="5"/>
        <v>16871388.469999999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8577.5</v>
      </c>
      <c r="G251" s="18">
        <v>819.62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9397.1200000000008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8577.5</v>
      </c>
      <c r="G256" s="41">
        <f t="shared" si="7"/>
        <v>819.62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9397.1200000000008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9099087.6400000006</v>
      </c>
      <c r="G257" s="41">
        <f t="shared" si="8"/>
        <v>3644718.42</v>
      </c>
      <c r="H257" s="41">
        <f t="shared" si="8"/>
        <v>3174513.59</v>
      </c>
      <c r="I257" s="41">
        <f t="shared" si="8"/>
        <v>693590.52</v>
      </c>
      <c r="J257" s="41">
        <f t="shared" si="8"/>
        <v>236185.71999999997</v>
      </c>
      <c r="K257" s="41">
        <f t="shared" si="8"/>
        <v>32689.7</v>
      </c>
      <c r="L257" s="41">
        <f t="shared" si="8"/>
        <v>16880785.59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33523.94</v>
      </c>
      <c r="L261" s="19">
        <f>SUM(F261:K261)</f>
        <v>33523.94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3390.94</v>
      </c>
      <c r="L263" s="19">
        <f>SUM(F263:K263)</f>
        <v>3390.94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101914.88</v>
      </c>
      <c r="L270" s="41">
        <f t="shared" si="9"/>
        <v>101914.88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9099087.6400000006</v>
      </c>
      <c r="G271" s="42">
        <f t="shared" si="11"/>
        <v>3644718.42</v>
      </c>
      <c r="H271" s="42">
        <f t="shared" si="11"/>
        <v>3174513.59</v>
      </c>
      <c r="I271" s="42">
        <f t="shared" si="11"/>
        <v>693590.52</v>
      </c>
      <c r="J271" s="42">
        <f t="shared" si="11"/>
        <v>236185.71999999997</v>
      </c>
      <c r="K271" s="42">
        <f t="shared" si="11"/>
        <v>134604.58000000002</v>
      </c>
      <c r="L271" s="42">
        <f t="shared" si="11"/>
        <v>16982700.469999999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3580.16</v>
      </c>
      <c r="G314" s="18">
        <v>230.81</v>
      </c>
      <c r="H314" s="18">
        <v>0</v>
      </c>
      <c r="I314" s="18">
        <v>1029.06</v>
      </c>
      <c r="J314" s="18">
        <v>14936.12</v>
      </c>
      <c r="K314" s="18">
        <v>0</v>
      </c>
      <c r="L314" s="19">
        <f>SUM(F314:K314)</f>
        <v>19776.150000000001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139998.45000000001</v>
      </c>
      <c r="G315" s="18">
        <v>30385.1</v>
      </c>
      <c r="H315" s="18">
        <v>1980</v>
      </c>
      <c r="I315" s="18">
        <v>0</v>
      </c>
      <c r="J315" s="18">
        <v>0</v>
      </c>
      <c r="K315" s="18">
        <v>0</v>
      </c>
      <c r="L315" s="19">
        <f>SUM(F315:K315)</f>
        <v>172363.55000000002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26960.35</v>
      </c>
      <c r="I320" s="18">
        <v>1615.79</v>
      </c>
      <c r="J320" s="18">
        <v>0</v>
      </c>
      <c r="K320" s="18">
        <v>1347</v>
      </c>
      <c r="L320" s="19">
        <f t="shared" si="16"/>
        <v>29923.14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1433.64</v>
      </c>
      <c r="I321" s="18">
        <v>0</v>
      </c>
      <c r="J321" s="18">
        <v>0</v>
      </c>
      <c r="K321" s="18">
        <v>177</v>
      </c>
      <c r="L321" s="19">
        <f t="shared" si="16"/>
        <v>1610.64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143578.61000000002</v>
      </c>
      <c r="G328" s="42">
        <f t="shared" si="17"/>
        <v>30615.91</v>
      </c>
      <c r="H328" s="42">
        <f t="shared" si="17"/>
        <v>30373.989999999998</v>
      </c>
      <c r="I328" s="42">
        <f t="shared" si="17"/>
        <v>2644.85</v>
      </c>
      <c r="J328" s="42">
        <f t="shared" si="17"/>
        <v>14936.12</v>
      </c>
      <c r="K328" s="42">
        <f t="shared" si="17"/>
        <v>1524</v>
      </c>
      <c r="L328" s="41">
        <f t="shared" si="17"/>
        <v>223673.48000000004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143578.61000000002</v>
      </c>
      <c r="G338" s="41">
        <f t="shared" si="20"/>
        <v>30615.91</v>
      </c>
      <c r="H338" s="41">
        <f t="shared" si="20"/>
        <v>30373.989999999998</v>
      </c>
      <c r="I338" s="41">
        <f t="shared" si="20"/>
        <v>2644.85</v>
      </c>
      <c r="J338" s="41">
        <f t="shared" si="20"/>
        <v>14936.12</v>
      </c>
      <c r="K338" s="41">
        <f t="shared" si="20"/>
        <v>1524</v>
      </c>
      <c r="L338" s="41">
        <f t="shared" si="20"/>
        <v>223673.48000000004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143578.61000000002</v>
      </c>
      <c r="G352" s="41">
        <f>G338</f>
        <v>30615.91</v>
      </c>
      <c r="H352" s="41">
        <f>H338</f>
        <v>30373.989999999998</v>
      </c>
      <c r="I352" s="41">
        <f>I338</f>
        <v>2644.85</v>
      </c>
      <c r="J352" s="41">
        <f>J338</f>
        <v>14936.12</v>
      </c>
      <c r="K352" s="47">
        <f>K338+K351</f>
        <v>1524</v>
      </c>
      <c r="L352" s="41">
        <f>L338+L351</f>
        <v>223673.48000000004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163266.82999999999</v>
      </c>
      <c r="G360" s="18">
        <v>83061.78</v>
      </c>
      <c r="H360" s="18">
        <v>8584.67</v>
      </c>
      <c r="I360" s="18">
        <v>142740.35</v>
      </c>
      <c r="J360" s="18">
        <v>3521.8</v>
      </c>
      <c r="K360" s="18">
        <v>1.32</v>
      </c>
      <c r="L360" s="19">
        <f>SUM(F360:K360)</f>
        <v>401176.75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163266.82999999999</v>
      </c>
      <c r="G362" s="47">
        <f t="shared" si="22"/>
        <v>83061.78</v>
      </c>
      <c r="H362" s="47">
        <f t="shared" si="22"/>
        <v>8584.67</v>
      </c>
      <c r="I362" s="47">
        <f t="shared" si="22"/>
        <v>142740.35</v>
      </c>
      <c r="J362" s="47">
        <f t="shared" si="22"/>
        <v>3521.8</v>
      </c>
      <c r="K362" s="47">
        <f t="shared" si="22"/>
        <v>1.32</v>
      </c>
      <c r="L362" s="47">
        <f t="shared" si="22"/>
        <v>401176.75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133110.16</v>
      </c>
      <c r="I367" s="56">
        <f>SUM(F367:H367)</f>
        <v>133110.16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9630.19</v>
      </c>
      <c r="I368" s="56">
        <f>SUM(F368:H368)</f>
        <v>9630.19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142740.35</v>
      </c>
      <c r="I369" s="47">
        <f>SUM(I367:I368)</f>
        <v>142740.35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1217967.77</v>
      </c>
      <c r="I378" s="18"/>
      <c r="J378" s="18"/>
      <c r="K378" s="18"/>
      <c r="L378" s="13">
        <f t="shared" si="23"/>
        <v>1217967.77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1217967.77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1217967.77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65000</v>
      </c>
      <c r="H396" s="18">
        <v>27.8</v>
      </c>
      <c r="I396" s="18"/>
      <c r="J396" s="24" t="s">
        <v>289</v>
      </c>
      <c r="K396" s="24" t="s">
        <v>289</v>
      </c>
      <c r="L396" s="56">
        <f t="shared" si="26"/>
        <v>65027.8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5922.82-68810.08</f>
        <v>-62887.26</v>
      </c>
      <c r="I397" s="18"/>
      <c r="J397" s="24" t="s">
        <v>289</v>
      </c>
      <c r="K397" s="24" t="s">
        <v>289</v>
      </c>
      <c r="L397" s="56">
        <f t="shared" si="26"/>
        <v>-62887.26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-62859.46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2140.5400000000009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f>4508.14+1072.98+8054.63+3043.4+7319.81</f>
        <v>23998.960000000003</v>
      </c>
      <c r="J403" s="24" t="s">
        <v>289</v>
      </c>
      <c r="K403" s="24" t="s">
        <v>289</v>
      </c>
      <c r="L403" s="56">
        <f>SUM(F403:K403)</f>
        <v>23998.960000000003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23998.960000000003</v>
      </c>
      <c r="J407" s="49" t="s">
        <v>289</v>
      </c>
      <c r="K407" s="49" t="s">
        <v>289</v>
      </c>
      <c r="L407" s="47">
        <f>SUM(L403:L406)</f>
        <v>23998.960000000003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-62859.46</v>
      </c>
      <c r="I408" s="47">
        <f>I393+I401+I407</f>
        <v>23998.960000000003</v>
      </c>
      <c r="J408" s="24" t="s">
        <v>289</v>
      </c>
      <c r="K408" s="24" t="s">
        <v>289</v>
      </c>
      <c r="L408" s="47">
        <f>L393+L401+L407</f>
        <v>26139.500000000004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165525.72</v>
      </c>
      <c r="I422" s="18"/>
      <c r="J422" s="18"/>
      <c r="K422" s="18"/>
      <c r="L422" s="56">
        <f t="shared" si="29"/>
        <v>165525.72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165525.72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165525.72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>
        <v>20333</v>
      </c>
      <c r="G429" s="18">
        <v>3665.96</v>
      </c>
      <c r="H429" s="18"/>
      <c r="I429" s="18"/>
      <c r="J429" s="18"/>
      <c r="K429" s="18"/>
      <c r="L429" s="56">
        <f>SUM(F429:K429)</f>
        <v>23998.959999999999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20333</v>
      </c>
      <c r="G433" s="47">
        <f t="shared" si="31"/>
        <v>3665.96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23998.959999999999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20333</v>
      </c>
      <c r="G434" s="47">
        <f t="shared" si="32"/>
        <v>3665.96</v>
      </c>
      <c r="H434" s="47">
        <f t="shared" si="32"/>
        <v>165525.72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189524.68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f>16834.39+1621.03+130829.45</f>
        <v>149284.87</v>
      </c>
      <c r="I439" s="56">
        <f>SUM(F439:H439)</f>
        <v>149284.87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ref="I440:I445" si="33">SUM(F440:H440)</f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>
        <v>409.1</v>
      </c>
      <c r="I441" s="56">
        <f t="shared" si="33"/>
        <v>409.1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51317.8+88909.16+262916.95</f>
        <v>403143.91000000003</v>
      </c>
      <c r="H442" s="4"/>
      <c r="I442" s="56">
        <f t="shared" si="33"/>
        <v>403143.91000000003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403143.91000000003</v>
      </c>
      <c r="H446" s="13">
        <f>SUM(H439:H445)</f>
        <v>149693.97</v>
      </c>
      <c r="I446" s="13">
        <f>SUM(I439:I445)</f>
        <v>552837.88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v>149284.87</v>
      </c>
      <c r="I451" s="56">
        <f>SUM(F451:H451)</f>
        <v>149284.87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149284.87</v>
      </c>
      <c r="I452" s="72">
        <f>SUM(I448:I451)</f>
        <v>149284.87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566529.09-163385.18</f>
        <v>403143.91</v>
      </c>
      <c r="H459" s="18">
        <v>409.1</v>
      </c>
      <c r="I459" s="56">
        <f t="shared" si="34"/>
        <v>403553.00999999995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403143.91</v>
      </c>
      <c r="H460" s="83">
        <f>SUM(H454:H459)</f>
        <v>409.1</v>
      </c>
      <c r="I460" s="83">
        <f>SUM(I454:I459)</f>
        <v>403553.00999999995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403143.91</v>
      </c>
      <c r="H461" s="42">
        <f>H452+H460</f>
        <v>149693.97</v>
      </c>
      <c r="I461" s="42">
        <f>I452+I460</f>
        <v>552837.87999999989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688657.9</v>
      </c>
      <c r="G465" s="18">
        <v>43.15</v>
      </c>
      <c r="H465" s="18">
        <v>0</v>
      </c>
      <c r="I465" s="18">
        <v>0.01</v>
      </c>
      <c r="J465" s="18">
        <v>566938.18999999994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16697121.49</v>
      </c>
      <c r="G468" s="18">
        <f t="shared" ref="G468:J468" si="35">G193</f>
        <v>401281.42</v>
      </c>
      <c r="H468" s="18">
        <f t="shared" si="35"/>
        <v>223673.47999999998</v>
      </c>
      <c r="I468" s="18">
        <f t="shared" si="35"/>
        <v>1225145.1299999999</v>
      </c>
      <c r="J468" s="18">
        <f t="shared" si="35"/>
        <v>26139.5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16697121.49</v>
      </c>
      <c r="G470" s="53">
        <f>SUM(G468:G469)</f>
        <v>401281.42</v>
      </c>
      <c r="H470" s="53">
        <f>SUM(H468:H469)</f>
        <v>223673.47999999998</v>
      </c>
      <c r="I470" s="53">
        <f>SUM(I468:I469)</f>
        <v>1225145.1299999999</v>
      </c>
      <c r="J470" s="53">
        <f>SUM(J468:J469)</f>
        <v>26139.5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16982700.469999999</v>
      </c>
      <c r="G472" s="18">
        <f>L362</f>
        <v>401176.75</v>
      </c>
      <c r="H472" s="18">
        <f>L352</f>
        <v>223673.48000000004</v>
      </c>
      <c r="I472" s="18">
        <f>L382</f>
        <v>1217967.77</v>
      </c>
      <c r="J472" s="18">
        <f>L434</f>
        <v>189524.68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16982700.469999999</v>
      </c>
      <c r="G474" s="53">
        <f>SUM(G472:G473)</f>
        <v>401176.75</v>
      </c>
      <c r="H474" s="53">
        <f>SUM(H472:H473)</f>
        <v>223673.48000000004</v>
      </c>
      <c r="I474" s="53">
        <f>SUM(I472:I473)</f>
        <v>1217967.77</v>
      </c>
      <c r="J474" s="53">
        <f>SUM(J472:J473)</f>
        <v>189524.68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403078.92000000179</v>
      </c>
      <c r="G476" s="53">
        <f>(G465+G470)- G474</f>
        <v>147.82000000000698</v>
      </c>
      <c r="H476" s="53">
        <f>(H465+H470)- H474</f>
        <v>0</v>
      </c>
      <c r="I476" s="53">
        <f>(I465+I470)- I474</f>
        <v>7177.3699999998789</v>
      </c>
      <c r="J476" s="53">
        <f>(J465+J470)- J474</f>
        <v>403553.00999999995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1090000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2.1425999999999998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1090000</v>
      </c>
      <c r="G495" s="18"/>
      <c r="H495" s="18"/>
      <c r="I495" s="18"/>
      <c r="J495" s="18"/>
      <c r="K495" s="53">
        <f>SUM(F495:J495)</f>
        <v>1090000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6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1090000</v>
      </c>
      <c r="G498" s="204"/>
      <c r="H498" s="204"/>
      <c r="I498" s="204"/>
      <c r="J498" s="204"/>
      <c r="K498" s="205">
        <f t="shared" si="36"/>
        <v>1090000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237980.19-33523.94</f>
        <v>204456.25</v>
      </c>
      <c r="G499" s="18"/>
      <c r="H499" s="18"/>
      <c r="I499" s="18"/>
      <c r="J499" s="18"/>
      <c r="K499" s="53">
        <f t="shared" si="36"/>
        <v>204456.25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1294456.25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1294456.25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160000</v>
      </c>
      <c r="G501" s="204"/>
      <c r="H501" s="204"/>
      <c r="I501" s="204"/>
      <c r="J501" s="204"/>
      <c r="K501" s="205">
        <f t="shared" si="36"/>
        <v>160000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54222.5</v>
      </c>
      <c r="G502" s="18"/>
      <c r="H502" s="18"/>
      <c r="I502" s="18"/>
      <c r="J502" s="18"/>
      <c r="K502" s="53">
        <f t="shared" si="36"/>
        <v>54222.5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214222.5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214222.5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1583738.95</v>
      </c>
      <c r="G523" s="18">
        <v>650707.29</v>
      </c>
      <c r="H523" s="18">
        <v>879868.43</v>
      </c>
      <c r="I523" s="18">
        <v>7759.41</v>
      </c>
      <c r="J523" s="18">
        <v>18826.61</v>
      </c>
      <c r="K523" s="18"/>
      <c r="L523" s="88">
        <f>SUM(F523:K523)</f>
        <v>3140900.6900000004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1583738.95</v>
      </c>
      <c r="G524" s="108">
        <f t="shared" ref="G524:L524" si="37">SUM(G521:G523)</f>
        <v>650707.29</v>
      </c>
      <c r="H524" s="108">
        <f t="shared" si="37"/>
        <v>879868.43</v>
      </c>
      <c r="I524" s="108">
        <f t="shared" si="37"/>
        <v>7759.41</v>
      </c>
      <c r="J524" s="108">
        <f t="shared" si="37"/>
        <v>18826.61</v>
      </c>
      <c r="K524" s="108">
        <f t="shared" si="37"/>
        <v>0</v>
      </c>
      <c r="L524" s="89">
        <f t="shared" si="37"/>
        <v>3140900.6900000004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191423.11</v>
      </c>
      <c r="G528" s="18">
        <v>95794.08</v>
      </c>
      <c r="H528" s="18">
        <v>167011.76</v>
      </c>
      <c r="I528" s="18">
        <v>1633.19</v>
      </c>
      <c r="J528" s="18"/>
      <c r="K528" s="18"/>
      <c r="L528" s="88">
        <f>SUM(F528:K528)</f>
        <v>455862.14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191423.11</v>
      </c>
      <c r="G529" s="89">
        <f t="shared" ref="G529:L529" si="38">SUM(G526:G528)</f>
        <v>95794.08</v>
      </c>
      <c r="H529" s="89">
        <f t="shared" si="38"/>
        <v>167011.76</v>
      </c>
      <c r="I529" s="89">
        <f t="shared" si="38"/>
        <v>1633.19</v>
      </c>
      <c r="J529" s="89">
        <f t="shared" si="38"/>
        <v>0</v>
      </c>
      <c r="K529" s="89">
        <f t="shared" si="38"/>
        <v>0</v>
      </c>
      <c r="L529" s="89">
        <f t="shared" si="38"/>
        <v>455862.14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41411</v>
      </c>
      <c r="G533" s="18">
        <v>23017.01</v>
      </c>
      <c r="H533" s="18">
        <v>11659.7</v>
      </c>
      <c r="I533" s="18"/>
      <c r="J533" s="18"/>
      <c r="K533" s="18"/>
      <c r="L533" s="88">
        <f>SUM(F533:K533)</f>
        <v>76087.709999999992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41411</v>
      </c>
      <c r="G534" s="89">
        <f t="shared" ref="G534:L534" si="39">SUM(G531:G533)</f>
        <v>23017.01</v>
      </c>
      <c r="H534" s="89">
        <f t="shared" si="39"/>
        <v>11659.7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76087.709999999992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230056.77</v>
      </c>
      <c r="I543" s="18"/>
      <c r="J543" s="18"/>
      <c r="K543" s="18"/>
      <c r="L543" s="88">
        <f>SUM(F543:K543)</f>
        <v>230056.77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230056.77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230056.77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1816573.06</v>
      </c>
      <c r="G545" s="89">
        <f t="shared" ref="G545:L545" si="42">G524+G529+G534+G539+G544</f>
        <v>769518.38</v>
      </c>
      <c r="H545" s="89">
        <f t="shared" si="42"/>
        <v>1288596.6600000001</v>
      </c>
      <c r="I545" s="89">
        <f t="shared" si="42"/>
        <v>9392.6</v>
      </c>
      <c r="J545" s="89">
        <f t="shared" si="42"/>
        <v>18826.61</v>
      </c>
      <c r="K545" s="89">
        <f t="shared" si="42"/>
        <v>0</v>
      </c>
      <c r="L545" s="89">
        <f t="shared" si="42"/>
        <v>3902907.3100000005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3140900.6900000004</v>
      </c>
      <c r="G551" s="87">
        <f>L528</f>
        <v>455862.14</v>
      </c>
      <c r="H551" s="87">
        <f>L533</f>
        <v>76087.709999999992</v>
      </c>
      <c r="I551" s="87">
        <f>L538</f>
        <v>0</v>
      </c>
      <c r="J551" s="87">
        <f>L543</f>
        <v>230056.77</v>
      </c>
      <c r="K551" s="87">
        <f>SUM(F551:J551)</f>
        <v>3902907.3100000005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3140900.6900000004</v>
      </c>
      <c r="G552" s="89">
        <f t="shared" si="43"/>
        <v>455862.14</v>
      </c>
      <c r="H552" s="89">
        <f t="shared" si="43"/>
        <v>76087.709999999992</v>
      </c>
      <c r="I552" s="89">
        <f t="shared" si="43"/>
        <v>0</v>
      </c>
      <c r="J552" s="89">
        <f t="shared" si="43"/>
        <v>230056.77</v>
      </c>
      <c r="K552" s="89">
        <f t="shared" si="43"/>
        <v>3902907.3100000005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583392.31999999995</v>
      </c>
      <c r="I582" s="87">
        <f t="shared" si="48"/>
        <v>583392.31999999995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5307.4</v>
      </c>
      <c r="I584" s="87">
        <f t="shared" si="48"/>
        <v>5307.4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217998.07999999999</v>
      </c>
      <c r="K591" s="104">
        <f t="shared" ref="K591:K597" si="49">SUM(H591:J591)</f>
        <v>217998.07999999999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230056.77</v>
      </c>
      <c r="K592" s="104">
        <f t="shared" si="49"/>
        <v>230056.77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43773.599999999999</v>
      </c>
      <c r="K593" s="104">
        <f t="shared" si="49"/>
        <v>43773.599999999999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102973.22</v>
      </c>
      <c r="K594" s="104">
        <f t="shared" si="49"/>
        <v>102973.22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8545.06</v>
      </c>
      <c r="K595" s="104">
        <f t="shared" si="49"/>
        <v>8545.06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603346.73</v>
      </c>
      <c r="K598" s="108">
        <f>SUM(K591:K597)</f>
        <v>603346.73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251121.84</v>
      </c>
      <c r="K604" s="104">
        <f>SUM(H604:J604)</f>
        <v>251121.84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251121.84</v>
      </c>
      <c r="K605" s="108">
        <f>SUM(K602:K604)</f>
        <v>251121.84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2393.75</v>
      </c>
      <c r="G613" s="18">
        <v>528.54</v>
      </c>
      <c r="H613" s="18"/>
      <c r="I613" s="18"/>
      <c r="J613" s="18"/>
      <c r="K613" s="18"/>
      <c r="L613" s="88">
        <f>SUM(F613:K613)</f>
        <v>2922.29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2393.75</v>
      </c>
      <c r="G614" s="108">
        <f t="shared" si="50"/>
        <v>528.54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2922.29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608177.25</v>
      </c>
      <c r="H617" s="109">
        <f>SUM(F52)</f>
        <v>608177.25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15365.390000000001</v>
      </c>
      <c r="H618" s="109">
        <f>SUM(G52)</f>
        <v>15365.39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66605.240000000005</v>
      </c>
      <c r="H619" s="109">
        <f>SUM(H52)</f>
        <v>66605.239999999991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7227.37</v>
      </c>
      <c r="H620" s="109">
        <f>SUM(I52)</f>
        <v>7227.37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552837.88</v>
      </c>
      <c r="H621" s="109">
        <f>SUM(J52)</f>
        <v>552837.87999999989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403078.92</v>
      </c>
      <c r="H622" s="109">
        <f>F476</f>
        <v>403078.92000000179</v>
      </c>
      <c r="I622" s="121" t="s">
        <v>101</v>
      </c>
      <c r="J622" s="109">
        <f t="shared" ref="J622:J655" si="51">G622-H622</f>
        <v>-1.8044374883174896E-9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147.82</v>
      </c>
      <c r="H623" s="109">
        <f>G476</f>
        <v>147.82000000000698</v>
      </c>
      <c r="I623" s="121" t="s">
        <v>102</v>
      </c>
      <c r="J623" s="109">
        <f t="shared" si="51"/>
        <v>-6.9917405198793858E-12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7177.37</v>
      </c>
      <c r="H625" s="109">
        <f>I476</f>
        <v>7177.3699999998789</v>
      </c>
      <c r="I625" s="121" t="s">
        <v>104</v>
      </c>
      <c r="J625" s="109">
        <f t="shared" si="51"/>
        <v>1.2096279533579946E-10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403553.00999999995</v>
      </c>
      <c r="H626" s="109">
        <f>J476</f>
        <v>403553.00999999995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16697121.49</v>
      </c>
      <c r="H627" s="104">
        <f>SUM(F468)</f>
        <v>16697121.49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401281.42</v>
      </c>
      <c r="H628" s="104">
        <f>SUM(G468)</f>
        <v>401281.42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223673.47999999998</v>
      </c>
      <c r="H629" s="104">
        <f>SUM(H468)</f>
        <v>223673.47999999998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1225145.1299999999</v>
      </c>
      <c r="H630" s="104">
        <f>SUM(I468)</f>
        <v>1225145.1299999999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26139.5</v>
      </c>
      <c r="H631" s="104">
        <f>SUM(J468)</f>
        <v>26139.5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16982700.469999999</v>
      </c>
      <c r="H632" s="104">
        <f>SUM(F472)</f>
        <v>16982700.469999999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223673.48000000004</v>
      </c>
      <c r="H633" s="104">
        <f>SUM(H472)</f>
        <v>223673.48000000004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142740.35</v>
      </c>
      <c r="H634" s="104">
        <f>I369</f>
        <v>142740.35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401176.75</v>
      </c>
      <c r="H635" s="104">
        <f>SUM(G472)</f>
        <v>401176.75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1217967.77</v>
      </c>
      <c r="H636" s="104">
        <f>SUM(I472)</f>
        <v>1217967.77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26139.500000000004</v>
      </c>
      <c r="H637" s="164">
        <f>SUM(J468)</f>
        <v>26139.5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189524.68</v>
      </c>
      <c r="H638" s="164">
        <f>SUM(J472)</f>
        <v>189524.68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403143.91000000003</v>
      </c>
      <c r="H640" s="104">
        <f>SUM(G461)</f>
        <v>403143.91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149693.97</v>
      </c>
      <c r="H641" s="104">
        <f>SUM(H461)</f>
        <v>149693.97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552837.88</v>
      </c>
      <c r="H642" s="104">
        <f>SUM(I461)</f>
        <v>552837.87999999989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-62859.46</v>
      </c>
      <c r="H644" s="104">
        <f>H408</f>
        <v>-62859.46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26139.5</v>
      </c>
      <c r="H646" s="104">
        <f>L408</f>
        <v>26139.500000000004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603346.73</v>
      </c>
      <c r="H647" s="104">
        <f>L208+L226+L244</f>
        <v>603346.7300000001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251121.84</v>
      </c>
      <c r="H648" s="104">
        <f>(J257+J338)-(J255+J336)</f>
        <v>251121.83999999997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603346.7300000001</v>
      </c>
      <c r="H651" s="104">
        <f>J598</f>
        <v>603346.73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3390.94</v>
      </c>
      <c r="H652" s="104">
        <f>K263+K345</f>
        <v>3390.94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17496238.699999999</v>
      </c>
      <c r="I660" s="19">
        <f>SUM(F660:H660)</f>
        <v>17496238.699999999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362323</v>
      </c>
      <c r="I661" s="19">
        <f>SUM(F661:H661)</f>
        <v>362323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603346.7300000001</v>
      </c>
      <c r="I662" s="19">
        <f>SUM(F662:H662)</f>
        <v>603346.7300000001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842743.85</v>
      </c>
      <c r="I663" s="19">
        <f>SUM(F663:H663)</f>
        <v>842743.85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15687825.119999999</v>
      </c>
      <c r="I664" s="19">
        <f>I660-SUM(I661:I663)</f>
        <v>15687825.119999999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828.26</v>
      </c>
      <c r="I665" s="19">
        <f>SUM(F665:H665)</f>
        <v>828.26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18940.7</v>
      </c>
      <c r="I667" s="19">
        <f>ROUND(I664/I665,2)</f>
        <v>18940.7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-3.12</v>
      </c>
      <c r="I670" s="19">
        <f>SUM(F670:H670)</f>
        <v>-3.12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19012.32</v>
      </c>
      <c r="I672" s="19">
        <f>ROUND((I664+I669)/(I665+I670),2)</f>
        <v>19012.32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SOUHEGAN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5219612.79</v>
      </c>
      <c r="C9" s="229">
        <f>'DOE25'!G197+'DOE25'!G215+'DOE25'!G233+'DOE25'!G276+'DOE25'!G295+'DOE25'!G314</f>
        <v>1981364.87</v>
      </c>
    </row>
    <row r="10" spans="1:3" x14ac:dyDescent="0.2">
      <c r="A10" t="s">
        <v>779</v>
      </c>
      <c r="B10" s="240">
        <f>4844580.95+2907.66</f>
        <v>4847488.6100000003</v>
      </c>
      <c r="C10" s="240">
        <v>1840106.54</v>
      </c>
    </row>
    <row r="11" spans="1:3" x14ac:dyDescent="0.2">
      <c r="A11" t="s">
        <v>780</v>
      </c>
      <c r="B11" s="240">
        <v>66860.460000000006</v>
      </c>
      <c r="C11" s="240">
        <v>25380.23</v>
      </c>
    </row>
    <row r="12" spans="1:3" x14ac:dyDescent="0.2">
      <c r="A12" t="s">
        <v>781</v>
      </c>
      <c r="B12" s="240">
        <v>305263.71999999997</v>
      </c>
      <c r="C12" s="240">
        <v>115878.1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5219612.79</v>
      </c>
      <c r="C13" s="231">
        <f>SUM(C10:C12)</f>
        <v>1981364.87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1816573.06</v>
      </c>
      <c r="C18" s="229">
        <f>'DOE25'!G198+'DOE25'!G216+'DOE25'!G234+'DOE25'!G277+'DOE25'!G296+'DOE25'!G315</f>
        <v>769518.38</v>
      </c>
    </row>
    <row r="19" spans="1:3" x14ac:dyDescent="0.2">
      <c r="A19" t="s">
        <v>779</v>
      </c>
      <c r="B19" s="240">
        <v>996884.16</v>
      </c>
      <c r="C19" s="240">
        <v>422290.02</v>
      </c>
    </row>
    <row r="20" spans="1:3" x14ac:dyDescent="0.2">
      <c r="A20" t="s">
        <v>780</v>
      </c>
      <c r="B20" s="240">
        <v>509354.8</v>
      </c>
      <c r="C20" s="240">
        <v>215767.75</v>
      </c>
    </row>
    <row r="21" spans="1:3" x14ac:dyDescent="0.2">
      <c r="A21" t="s">
        <v>781</v>
      </c>
      <c r="B21" s="240">
        <v>310334.09999999998</v>
      </c>
      <c r="C21" s="240">
        <v>131460.60999999999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1816573.06</v>
      </c>
      <c r="C22" s="231">
        <f>SUM(C19:C21)</f>
        <v>769518.38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180590.46</v>
      </c>
      <c r="C36" s="235">
        <f>'DOE25'!G200+'DOE25'!G218+'DOE25'!G236+'DOE25'!G279+'DOE25'!G298+'DOE25'!G317</f>
        <v>24243.439999999999</v>
      </c>
    </row>
    <row r="37" spans="1:3" x14ac:dyDescent="0.2">
      <c r="A37" t="s">
        <v>779</v>
      </c>
      <c r="B37" s="240">
        <v>72307.47</v>
      </c>
      <c r="C37" s="240">
        <v>9706.94</v>
      </c>
    </row>
    <row r="38" spans="1:3" x14ac:dyDescent="0.2">
      <c r="A38" t="s">
        <v>780</v>
      </c>
      <c r="B38" s="240">
        <v>4044.3</v>
      </c>
      <c r="C38" s="240">
        <v>542.92999999999995</v>
      </c>
    </row>
    <row r="39" spans="1:3" x14ac:dyDescent="0.2">
      <c r="A39" t="s">
        <v>781</v>
      </c>
      <c r="B39" s="240">
        <v>104238.69</v>
      </c>
      <c r="C39" s="240">
        <v>13993.57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180590.46000000002</v>
      </c>
      <c r="C40" s="231">
        <f>SUM(C37:C39)</f>
        <v>24243.440000000002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SOUHEGAN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11485380.659999998</v>
      </c>
      <c r="D5" s="20">
        <f>SUM('DOE25'!L197:L200)+SUM('DOE25'!L215:L218)+SUM('DOE25'!L233:L236)-F5-G5</f>
        <v>11301479.809999999</v>
      </c>
      <c r="E5" s="243"/>
      <c r="F5" s="255">
        <f>SUM('DOE25'!J197:J200)+SUM('DOE25'!J215:J218)+SUM('DOE25'!J233:J236)</f>
        <v>168345.84999999998</v>
      </c>
      <c r="G5" s="53">
        <f>SUM('DOE25'!K197:K200)+SUM('DOE25'!K215:K218)+SUM('DOE25'!K233:K236)</f>
        <v>15555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1054637.45</v>
      </c>
      <c r="D6" s="20">
        <f>'DOE25'!L202+'DOE25'!L220+'DOE25'!L238-F6-G6</f>
        <v>1054637.45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480353.04000000004</v>
      </c>
      <c r="D7" s="20">
        <f>'DOE25'!L203+'DOE25'!L221+'DOE25'!L239-F7-G7</f>
        <v>479751.66000000003</v>
      </c>
      <c r="E7" s="243"/>
      <c r="F7" s="255">
        <f>'DOE25'!J203+'DOE25'!J221+'DOE25'!J239</f>
        <v>601.38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777482.29</v>
      </c>
      <c r="D8" s="243"/>
      <c r="E8" s="20">
        <f>'DOE25'!L204+'DOE25'!L222+'DOE25'!L240-F8-G8-D9-D11</f>
        <v>772491.41</v>
      </c>
      <c r="F8" s="255">
        <f>'DOE25'!J204+'DOE25'!J222+'DOE25'!J240</f>
        <v>0</v>
      </c>
      <c r="G8" s="53">
        <f>'DOE25'!K204+'DOE25'!K222+'DOE25'!K240</f>
        <v>4990.88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735794.39999999991</v>
      </c>
      <c r="D12" s="20">
        <f>'DOE25'!L205+'DOE25'!L223+'DOE25'!L241-F12-G12</f>
        <v>723702.08</v>
      </c>
      <c r="E12" s="243"/>
      <c r="F12" s="255">
        <f>'DOE25'!J205+'DOE25'!J223+'DOE25'!J241</f>
        <v>0</v>
      </c>
      <c r="G12" s="53">
        <f>'DOE25'!K205+'DOE25'!K223+'DOE25'!K241</f>
        <v>12092.32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3189.89</v>
      </c>
      <c r="D13" s="243"/>
      <c r="E13" s="20">
        <f>'DOE25'!L206+'DOE25'!L224+'DOE25'!L242-F13-G13</f>
        <v>3189.89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1391850.13</v>
      </c>
      <c r="D14" s="20">
        <f>'DOE25'!L207+'DOE25'!L225+'DOE25'!L243-F14-G14</f>
        <v>1383574.42</v>
      </c>
      <c r="E14" s="243"/>
      <c r="F14" s="255">
        <f>'DOE25'!J207+'DOE25'!J225+'DOE25'!J243</f>
        <v>8224.2099999999991</v>
      </c>
      <c r="G14" s="53">
        <f>'DOE25'!K207+'DOE25'!K225+'DOE25'!K243</f>
        <v>51.5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603346.7300000001</v>
      </c>
      <c r="D15" s="20">
        <f>'DOE25'!L208+'DOE25'!L226+'DOE25'!L244-F15-G15</f>
        <v>603346.7300000001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339353.88</v>
      </c>
      <c r="D16" s="243"/>
      <c r="E16" s="20">
        <f>'DOE25'!L209+'DOE25'!L227+'DOE25'!L245-F16-G16</f>
        <v>280339.59999999998</v>
      </c>
      <c r="F16" s="255">
        <f>'DOE25'!J209+'DOE25'!J227+'DOE25'!J245</f>
        <v>59014.28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9397.1200000000008</v>
      </c>
      <c r="D17" s="20">
        <f>'DOE25'!L251-F17-G17</f>
        <v>9397.1200000000008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33523.94</v>
      </c>
      <c r="D25" s="243"/>
      <c r="E25" s="243"/>
      <c r="F25" s="258"/>
      <c r="G25" s="256"/>
      <c r="H25" s="257">
        <f>'DOE25'!L260+'DOE25'!L261+'DOE25'!L341+'DOE25'!L342</f>
        <v>33523.94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268066.58999999997</v>
      </c>
      <c r="D29" s="20">
        <f>'DOE25'!L358+'DOE25'!L359+'DOE25'!L360-'DOE25'!I367-F29-G29</f>
        <v>264543.46999999997</v>
      </c>
      <c r="E29" s="243"/>
      <c r="F29" s="255">
        <f>'DOE25'!J358+'DOE25'!J359+'DOE25'!J360</f>
        <v>3521.8</v>
      </c>
      <c r="G29" s="53">
        <f>'DOE25'!K358+'DOE25'!K359+'DOE25'!K360</f>
        <v>1.32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223673.48000000004</v>
      </c>
      <c r="D31" s="20">
        <f>'DOE25'!L290+'DOE25'!L309+'DOE25'!L328+'DOE25'!L333+'DOE25'!L334+'DOE25'!L335-F31-G31</f>
        <v>207213.36000000004</v>
      </c>
      <c r="E31" s="243"/>
      <c r="F31" s="255">
        <f>'DOE25'!J290+'DOE25'!J309+'DOE25'!J328+'DOE25'!J333+'DOE25'!J334+'DOE25'!J335</f>
        <v>14936.12</v>
      </c>
      <c r="G31" s="53">
        <f>'DOE25'!K290+'DOE25'!K309+'DOE25'!K328+'DOE25'!K333+'DOE25'!K334+'DOE25'!K335</f>
        <v>1524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16027646.099999998</v>
      </c>
      <c r="E33" s="246">
        <f>SUM(E5:E31)</f>
        <v>1056020.8999999999</v>
      </c>
      <c r="F33" s="246">
        <f>SUM(F5:F31)</f>
        <v>254643.63999999996</v>
      </c>
      <c r="G33" s="246">
        <f>SUM(G5:G31)</f>
        <v>34215.020000000004</v>
      </c>
      <c r="H33" s="246">
        <f>SUM(H5:H31)</f>
        <v>33523.94</v>
      </c>
    </row>
    <row r="35" spans="2:8" ht="12" thickBot="1" x14ac:dyDescent="0.25">
      <c r="B35" s="253" t="s">
        <v>847</v>
      </c>
      <c r="D35" s="254">
        <f>E33</f>
        <v>1056020.8999999999</v>
      </c>
      <c r="E35" s="249"/>
    </row>
    <row r="36" spans="2:8" ht="12" thickTop="1" x14ac:dyDescent="0.2">
      <c r="B36" t="s">
        <v>815</v>
      </c>
      <c r="D36" s="20">
        <f>D33</f>
        <v>16027646.099999998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94608.960000000006</v>
      </c>
      <c r="D8" s="95">
        <f>'DOE25'!G9</f>
        <v>0</v>
      </c>
      <c r="E8" s="95">
        <f>'DOE25'!H9</f>
        <v>0</v>
      </c>
      <c r="F8" s="95">
        <f>'DOE25'!I9</f>
        <v>7227.37</v>
      </c>
      <c r="G8" s="95">
        <f>'DOE25'!J9</f>
        <v>149284.87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424807.55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65722.62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409.1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5748.37</v>
      </c>
      <c r="D12" s="95">
        <f>'DOE25'!G13</f>
        <v>15124.44</v>
      </c>
      <c r="E12" s="95">
        <f>'DOE25'!H13</f>
        <v>66605.240000000005</v>
      </c>
      <c r="F12" s="95">
        <f>'DOE25'!I13</f>
        <v>0</v>
      </c>
      <c r="G12" s="95">
        <f>'DOE25'!J13</f>
        <v>403143.91000000003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5892.75</v>
      </c>
      <c r="D13" s="95">
        <f>'DOE25'!G14</f>
        <v>240.95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11397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608177.25</v>
      </c>
      <c r="D18" s="41">
        <f>SUM(D8:D17)</f>
        <v>15365.390000000001</v>
      </c>
      <c r="E18" s="41">
        <f>SUM(E8:E17)</f>
        <v>66605.240000000005</v>
      </c>
      <c r="F18" s="41">
        <f>SUM(F8:F17)</f>
        <v>7227.37</v>
      </c>
      <c r="G18" s="41">
        <f>SUM(G8:G17)</f>
        <v>552837.88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17965.55</v>
      </c>
      <c r="D21" s="95">
        <f>'DOE25'!G22</f>
        <v>1861.91</v>
      </c>
      <c r="E21" s="95">
        <f>'DOE25'!H22</f>
        <v>46254.26</v>
      </c>
      <c r="F21" s="95">
        <f>'DOE25'!I22</f>
        <v>50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1680.28</v>
      </c>
      <c r="D22" s="95">
        <f>'DOE25'!G23</f>
        <v>11616.66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170097.93</v>
      </c>
      <c r="D23" s="95">
        <f>'DOE25'!G24</f>
        <v>1739</v>
      </c>
      <c r="E23" s="95">
        <f>'DOE25'!H24</f>
        <v>4465.7700000000004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1932.5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8447.57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4746.4799999999996</v>
      </c>
      <c r="D29" s="95">
        <f>'DOE25'!G30</f>
        <v>0</v>
      </c>
      <c r="E29" s="95">
        <f>'DOE25'!H30</f>
        <v>15885.21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228.02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149284.87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205098.33</v>
      </c>
      <c r="D31" s="41">
        <f>SUM(D21:D30)</f>
        <v>15217.57</v>
      </c>
      <c r="E31" s="41">
        <f>SUM(E21:E30)</f>
        <v>66605.239999999991</v>
      </c>
      <c r="F31" s="41">
        <f>SUM(F21:F30)</f>
        <v>50</v>
      </c>
      <c r="G31" s="41">
        <f>SUM(G21:G30)</f>
        <v>149284.87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147.82</v>
      </c>
      <c r="E47" s="95">
        <f>'DOE25'!H48</f>
        <v>0</v>
      </c>
      <c r="F47" s="95">
        <f>'DOE25'!I48</f>
        <v>7177.37</v>
      </c>
      <c r="G47" s="95">
        <f>'DOE25'!J48</f>
        <v>403553.00999999995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152550.91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185528.00999999998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403078.92</v>
      </c>
      <c r="D50" s="41">
        <f>SUM(D34:D49)</f>
        <v>147.82</v>
      </c>
      <c r="E50" s="41">
        <f>SUM(E34:E49)</f>
        <v>0</v>
      </c>
      <c r="F50" s="41">
        <f>SUM(F34:F49)</f>
        <v>7177.37</v>
      </c>
      <c r="G50" s="41">
        <f>SUM(G34:G49)</f>
        <v>403553.00999999995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608177.25</v>
      </c>
      <c r="D51" s="41">
        <f>D50+D31</f>
        <v>15365.39</v>
      </c>
      <c r="E51" s="41">
        <f>E50+E31</f>
        <v>66605.239999999991</v>
      </c>
      <c r="F51" s="41">
        <f>F50+F31</f>
        <v>7227.37</v>
      </c>
      <c r="G51" s="41">
        <f>G50+G31</f>
        <v>552837.87999999989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12653652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85522.94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4293.76</v>
      </c>
      <c r="D59" s="95">
        <f>'DOE25'!G96</f>
        <v>0</v>
      </c>
      <c r="E59" s="95">
        <f>'DOE25'!H96</f>
        <v>0</v>
      </c>
      <c r="F59" s="95">
        <f>'DOE25'!I96</f>
        <v>145.13</v>
      </c>
      <c r="G59" s="95">
        <f>'DOE25'!J96</f>
        <v>-62859.46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359575.1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306686.13</v>
      </c>
      <c r="D61" s="95">
        <f>SUM('DOE25'!G98:G110)</f>
        <v>2747.9</v>
      </c>
      <c r="E61" s="95">
        <f>SUM('DOE25'!H98:H110)</f>
        <v>2980</v>
      </c>
      <c r="F61" s="95">
        <f>SUM('DOE25'!I98:I110)</f>
        <v>0</v>
      </c>
      <c r="G61" s="95">
        <f>SUM('DOE25'!J98:J110)</f>
        <v>23998.959999999999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396502.83</v>
      </c>
      <c r="D62" s="130">
        <f>SUM(D57:D61)</f>
        <v>362323</v>
      </c>
      <c r="E62" s="130">
        <f>SUM(E57:E61)</f>
        <v>2980</v>
      </c>
      <c r="F62" s="130">
        <f>SUM(F57:F61)</f>
        <v>145.13</v>
      </c>
      <c r="G62" s="130">
        <f>SUM(G57:G61)</f>
        <v>-38860.5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13050154.83</v>
      </c>
      <c r="D63" s="22">
        <f>D56+D62</f>
        <v>362323</v>
      </c>
      <c r="E63" s="22">
        <f>E56+E62</f>
        <v>2980</v>
      </c>
      <c r="F63" s="22">
        <f>F56+F62</f>
        <v>145.13</v>
      </c>
      <c r="G63" s="22">
        <f>G56+G62</f>
        <v>-38860.5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1716635.7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1596434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3313069.7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217849.54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2329.6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775.74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220179.14</v>
      </c>
      <c r="D78" s="130">
        <f>SUM(D72:D77)</f>
        <v>775.74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3533248.8400000003</v>
      </c>
      <c r="D81" s="130">
        <f>SUM(D79:D80)+D78+D70</f>
        <v>775.74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113717.82</v>
      </c>
      <c r="D88" s="95">
        <f>SUM('DOE25'!G153:G161)</f>
        <v>34791.74</v>
      </c>
      <c r="E88" s="95">
        <f>SUM('DOE25'!H153:H161)</f>
        <v>220693.47999999998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113717.82</v>
      </c>
      <c r="D91" s="131">
        <f>SUM(D85:D90)</f>
        <v>34791.74</v>
      </c>
      <c r="E91" s="131">
        <f>SUM(E85:E90)</f>
        <v>220693.47999999998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1225000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3390.94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3390.94</v>
      </c>
      <c r="E103" s="86">
        <f>SUM(E93:E102)</f>
        <v>0</v>
      </c>
      <c r="F103" s="86">
        <f>SUM(F93:F102)</f>
        <v>1225000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16697121.49</v>
      </c>
      <c r="D104" s="86">
        <f>D63+D81+D91+D103</f>
        <v>401281.42</v>
      </c>
      <c r="E104" s="86">
        <f>E63+E81+E91+E103</f>
        <v>223673.47999999998</v>
      </c>
      <c r="F104" s="86">
        <f>F63+F81+F91+F103</f>
        <v>1225145.1299999999</v>
      </c>
      <c r="G104" s="86">
        <f>G63+G81+G103</f>
        <v>26139.5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7538918.1399999997</v>
      </c>
      <c r="D109" s="24" t="s">
        <v>289</v>
      </c>
      <c r="E109" s="95">
        <f>('DOE25'!L276)+('DOE25'!L295)+('DOE25'!L314)</f>
        <v>19776.150000000001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3500486.99</v>
      </c>
      <c r="D110" s="24" t="s">
        <v>289</v>
      </c>
      <c r="E110" s="95">
        <f>('DOE25'!L277)+('DOE25'!L296)+('DOE25'!L315)</f>
        <v>172363.55000000002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445975.52999999997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9397.1200000000008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11494777.779999997</v>
      </c>
      <c r="D115" s="86">
        <f>SUM(D109:D114)</f>
        <v>0</v>
      </c>
      <c r="E115" s="86">
        <f>SUM(E109:E114)</f>
        <v>192139.7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1054637.45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480353.04000000004</v>
      </c>
      <c r="D119" s="24" t="s">
        <v>289</v>
      </c>
      <c r="E119" s="95">
        <f>+('DOE25'!L282)+('DOE25'!L301)+('DOE25'!L320)</f>
        <v>29923.14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777482.29</v>
      </c>
      <c r="D120" s="24" t="s">
        <v>289</v>
      </c>
      <c r="E120" s="95">
        <f>+('DOE25'!L283)+('DOE25'!L302)+('DOE25'!L321)</f>
        <v>1610.64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735794.39999999991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3189.89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1391850.13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603346.7300000001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339353.88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401176.75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5386007.8100000005</v>
      </c>
      <c r="D128" s="86">
        <f>SUM(D118:D127)</f>
        <v>401176.75</v>
      </c>
      <c r="E128" s="86">
        <f>SUM(E118:E127)</f>
        <v>31533.78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1217967.77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33523.94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3390.94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2140.5400000000009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23998.960000000003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38860.5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101914.88</v>
      </c>
      <c r="D144" s="141">
        <f>SUM(D130:D143)</f>
        <v>0</v>
      </c>
      <c r="E144" s="141">
        <f>SUM(E130:E143)</f>
        <v>0</v>
      </c>
      <c r="F144" s="141">
        <f>SUM(F130:F143)</f>
        <v>1217967.77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16982700.469999995</v>
      </c>
      <c r="D145" s="86">
        <f>(D115+D128+D144)</f>
        <v>401176.75</v>
      </c>
      <c r="E145" s="86">
        <f>(E115+E128+E144)</f>
        <v>223673.48</v>
      </c>
      <c r="F145" s="86">
        <f>(F115+F128+F144)</f>
        <v>1217967.77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1090000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2.1425999999999998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1090000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1090000</v>
      </c>
    </row>
    <row r="160" spans="1:9" x14ac:dyDescent="0.2">
      <c r="A160" s="22" t="s">
        <v>36</v>
      </c>
      <c r="B160" s="137">
        <f>'DOE25'!F499</f>
        <v>204456.25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204456.25</v>
      </c>
    </row>
    <row r="161" spans="1:7" x14ac:dyDescent="0.2">
      <c r="A161" s="22" t="s">
        <v>37</v>
      </c>
      <c r="B161" s="137">
        <f>'DOE25'!F500</f>
        <v>1294456.25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1294456.25</v>
      </c>
    </row>
    <row r="162" spans="1:7" x14ac:dyDescent="0.2">
      <c r="A162" s="22" t="s">
        <v>38</v>
      </c>
      <c r="B162" s="137">
        <f>'DOE25'!F501</f>
        <v>160000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</v>
      </c>
    </row>
    <row r="163" spans="1:7" x14ac:dyDescent="0.2">
      <c r="A163" s="22" t="s">
        <v>39</v>
      </c>
      <c r="B163" s="137">
        <f>'DOE25'!F502</f>
        <v>54222.5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54222.5</v>
      </c>
    </row>
    <row r="164" spans="1:7" x14ac:dyDescent="0.2">
      <c r="A164" s="22" t="s">
        <v>246</v>
      </c>
      <c r="B164" s="137">
        <f>'DOE25'!F503</f>
        <v>214222.5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214222.5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SOUHEGAN COOPERATIVE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19012</v>
      </c>
    </row>
    <row r="7" spans="1:4" x14ac:dyDescent="0.2">
      <c r="B7" t="s">
        <v>705</v>
      </c>
      <c r="C7" s="179">
        <f>IF('DOE25'!I665+'DOE25'!I670=0,0,ROUND('DOE25'!I672,0))</f>
        <v>19012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7558694</v>
      </c>
      <c r="D10" s="182">
        <f>ROUND((C10/$C$28)*100,1)</f>
        <v>44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3672851</v>
      </c>
      <c r="D11" s="182">
        <f>ROUND((C11/$C$28)*100,1)</f>
        <v>21.4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445976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1054637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510276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1118447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735794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3190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1391850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603347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9397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33524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38854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17176837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1217968</v>
      </c>
    </row>
    <row r="30" spans="1:4" x14ac:dyDescent="0.2">
      <c r="B30" s="187" t="s">
        <v>729</v>
      </c>
      <c r="C30" s="180">
        <f>SUM(C28:C29)</f>
        <v>18394805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12653652</v>
      </c>
      <c r="D35" s="182">
        <f t="shared" ref="D35:D40" si="1">ROUND((C35/$C$41)*100,1)</f>
        <v>74.8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360767.46000000089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3313070</v>
      </c>
      <c r="D37" s="182">
        <f t="shared" si="1"/>
        <v>19.600000000000001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220955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369203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16917647.460000001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1225000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SOUHEGAN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2014-08-14T19:01:44Z</cp:lastPrinted>
  <dcterms:created xsi:type="dcterms:W3CDTF">1997-12-04T19:04:30Z</dcterms:created>
  <dcterms:modified xsi:type="dcterms:W3CDTF">2014-12-05T17:38:21Z</dcterms:modified>
</cp:coreProperties>
</file>