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26" i="1" l="1"/>
  <c r="H198" i="1"/>
  <c r="F472" i="1"/>
  <c r="F9" i="1" l="1"/>
  <c r="F14" i="1"/>
  <c r="C10" i="12" l="1"/>
  <c r="C11" i="12"/>
  <c r="B11" i="12"/>
  <c r="B10" i="12"/>
  <c r="I203" i="1"/>
  <c r="G611" i="1"/>
  <c r="H575" i="1"/>
  <c r="G521" i="1"/>
  <c r="K531" i="1"/>
  <c r="I531" i="1"/>
  <c r="H531" i="1"/>
  <c r="H358" i="1"/>
  <c r="H208" i="1"/>
  <c r="J276" i="1"/>
  <c r="I276" i="1"/>
  <c r="H276" i="1"/>
  <c r="G276" i="1"/>
  <c r="F276" i="1"/>
  <c r="I207" i="1"/>
  <c r="H207" i="1"/>
  <c r="G207" i="1"/>
  <c r="F207" i="1"/>
  <c r="K205" i="1"/>
  <c r="I205" i="1"/>
  <c r="H205" i="1"/>
  <c r="G205" i="1"/>
  <c r="F205" i="1"/>
  <c r="G203" i="1"/>
  <c r="F203" i="1"/>
  <c r="H203" i="1"/>
  <c r="H202" i="1"/>
  <c r="G200" i="1"/>
  <c r="F200" i="1"/>
  <c r="I200" i="1"/>
  <c r="G198" i="1"/>
  <c r="J197" i="1"/>
  <c r="I197" i="1"/>
  <c r="H233" i="1"/>
  <c r="H197" i="1"/>
  <c r="G197" i="1"/>
  <c r="F197" i="1"/>
  <c r="F2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C16" i="10" s="1"/>
  <c r="L221" i="1"/>
  <c r="L239" i="1"/>
  <c r="F12" i="13"/>
  <c r="G12" i="13"/>
  <c r="L205" i="1"/>
  <c r="C121" i="2" s="1"/>
  <c r="L223" i="1"/>
  <c r="L241" i="1"/>
  <c r="F14" i="13"/>
  <c r="G14" i="13"/>
  <c r="L207" i="1"/>
  <c r="C20" i="10" s="1"/>
  <c r="L225" i="1"/>
  <c r="L243" i="1"/>
  <c r="F15" i="13"/>
  <c r="G15" i="13"/>
  <c r="L208" i="1"/>
  <c r="G649" i="1" s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E110" i="2" s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C29" i="10" s="1"/>
  <c r="L336" i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C13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K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C63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C119" i="2"/>
  <c r="E119" i="2"/>
  <c r="E120" i="2"/>
  <c r="E121" i="2"/>
  <c r="C122" i="2"/>
  <c r="E122" i="2"/>
  <c r="E123" i="2"/>
  <c r="E124" i="2"/>
  <c r="C125" i="2"/>
  <c r="E125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I401" i="1"/>
  <c r="F407" i="1"/>
  <c r="G407" i="1"/>
  <c r="H407" i="1"/>
  <c r="I407" i="1"/>
  <c r="F408" i="1"/>
  <c r="H643" i="1" s="1"/>
  <c r="J643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F452" i="1"/>
  <c r="G452" i="1"/>
  <c r="H452" i="1"/>
  <c r="I452" i="1"/>
  <c r="F460" i="1"/>
  <c r="G460" i="1"/>
  <c r="H460" i="1"/>
  <c r="F461" i="1"/>
  <c r="G461" i="1"/>
  <c r="H640" i="1" s="1"/>
  <c r="H461" i="1"/>
  <c r="F470" i="1"/>
  <c r="G470" i="1"/>
  <c r="H470" i="1"/>
  <c r="H476" i="1" s="1"/>
  <c r="H624" i="1" s="1"/>
  <c r="J624" i="1" s="1"/>
  <c r="I470" i="1"/>
  <c r="J470" i="1"/>
  <c r="J476" i="1" s="1"/>
  <c r="H626" i="1" s="1"/>
  <c r="F474" i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K545" i="1" s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J634" i="1" s="1"/>
  <c r="H635" i="1"/>
  <c r="H636" i="1"/>
  <c r="H637" i="1"/>
  <c r="H638" i="1"/>
  <c r="G639" i="1"/>
  <c r="H639" i="1"/>
  <c r="G641" i="1"/>
  <c r="H641" i="1"/>
  <c r="G642" i="1"/>
  <c r="G643" i="1"/>
  <c r="G644" i="1"/>
  <c r="G645" i="1"/>
  <c r="G650" i="1"/>
  <c r="G652" i="1"/>
  <c r="H652" i="1"/>
  <c r="G653" i="1"/>
  <c r="H653" i="1"/>
  <c r="G654" i="1"/>
  <c r="H654" i="1"/>
  <c r="H655" i="1"/>
  <c r="L256" i="1"/>
  <c r="G164" i="2"/>
  <c r="C26" i="10"/>
  <c r="L328" i="1"/>
  <c r="L351" i="1"/>
  <c r="A31" i="12"/>
  <c r="D62" i="2"/>
  <c r="D63" i="2" s="1"/>
  <c r="D18" i="13"/>
  <c r="C18" i="13" s="1"/>
  <c r="D18" i="2"/>
  <c r="D17" i="13"/>
  <c r="C17" i="13" s="1"/>
  <c r="C91" i="2"/>
  <c r="F78" i="2"/>
  <c r="F81" i="2" s="1"/>
  <c r="D31" i="2"/>
  <c r="C78" i="2"/>
  <c r="D50" i="2"/>
  <c r="G157" i="2"/>
  <c r="F18" i="2"/>
  <c r="G161" i="2"/>
  <c r="G156" i="2"/>
  <c r="E103" i="2"/>
  <c r="D91" i="2"/>
  <c r="E62" i="2"/>
  <c r="E63" i="2" s="1"/>
  <c r="G62" i="2"/>
  <c r="D19" i="13"/>
  <c r="C19" i="13" s="1"/>
  <c r="E13" i="13"/>
  <c r="C13" i="13" s="1"/>
  <c r="E78" i="2"/>
  <c r="E81" i="2" s="1"/>
  <c r="L427" i="1"/>
  <c r="H112" i="1"/>
  <c r="F112" i="1"/>
  <c r="J641" i="1"/>
  <c r="J639" i="1"/>
  <c r="J571" i="1"/>
  <c r="K571" i="1"/>
  <c r="L433" i="1"/>
  <c r="L419" i="1"/>
  <c r="D81" i="2"/>
  <c r="I169" i="1"/>
  <c r="F476" i="1"/>
  <c r="H622" i="1" s="1"/>
  <c r="I476" i="1"/>
  <c r="H625" i="1" s="1"/>
  <c r="J625" i="1" s="1"/>
  <c r="G338" i="1"/>
  <c r="G352" i="1" s="1"/>
  <c r="J140" i="1"/>
  <c r="F571" i="1"/>
  <c r="I552" i="1"/>
  <c r="K550" i="1"/>
  <c r="G22" i="2"/>
  <c r="K598" i="1"/>
  <c r="G647" i="1" s="1"/>
  <c r="J552" i="1"/>
  <c r="H140" i="1"/>
  <c r="L393" i="1"/>
  <c r="H25" i="13"/>
  <c r="C25" i="13" s="1"/>
  <c r="H571" i="1"/>
  <c r="L560" i="1"/>
  <c r="J545" i="1"/>
  <c r="H338" i="1"/>
  <c r="H352" i="1" s="1"/>
  <c r="H192" i="1"/>
  <c r="E128" i="2"/>
  <c r="F552" i="1"/>
  <c r="C35" i="10"/>
  <c r="L309" i="1"/>
  <c r="E16" i="13"/>
  <c r="J655" i="1"/>
  <c r="L570" i="1"/>
  <c r="I571" i="1"/>
  <c r="I545" i="1"/>
  <c r="J636" i="1"/>
  <c r="G36" i="2"/>
  <c r="L565" i="1"/>
  <c r="G545" i="1"/>
  <c r="K551" i="1"/>
  <c r="C138" i="2"/>
  <c r="C16" i="13"/>
  <c r="H33" i="13"/>
  <c r="G552" i="1" l="1"/>
  <c r="H545" i="1"/>
  <c r="J622" i="1"/>
  <c r="E31" i="2"/>
  <c r="C18" i="2"/>
  <c r="A13" i="12"/>
  <c r="L401" i="1"/>
  <c r="C139" i="2" s="1"/>
  <c r="J645" i="1"/>
  <c r="J644" i="1"/>
  <c r="L614" i="1"/>
  <c r="J649" i="1"/>
  <c r="L529" i="1"/>
  <c r="L545" i="1" s="1"/>
  <c r="K552" i="1"/>
  <c r="J640" i="1"/>
  <c r="I460" i="1"/>
  <c r="I461" i="1" s="1"/>
  <c r="H642" i="1" s="1"/>
  <c r="H661" i="1"/>
  <c r="G661" i="1"/>
  <c r="D29" i="13"/>
  <c r="C29" i="13" s="1"/>
  <c r="D127" i="2"/>
  <c r="D128" i="2" s="1"/>
  <c r="D145" i="2" s="1"/>
  <c r="L362" i="1"/>
  <c r="G635" i="1" s="1"/>
  <c r="J635" i="1" s="1"/>
  <c r="I661" i="1"/>
  <c r="L290" i="1"/>
  <c r="L338" i="1" s="1"/>
  <c r="L352" i="1" s="1"/>
  <c r="G633" i="1" s="1"/>
  <c r="J633" i="1" s="1"/>
  <c r="C10" i="10"/>
  <c r="E115" i="2"/>
  <c r="E145" i="2" s="1"/>
  <c r="F22" i="13"/>
  <c r="C22" i="13" s="1"/>
  <c r="C130" i="2"/>
  <c r="G651" i="1"/>
  <c r="J651" i="1" s="1"/>
  <c r="D15" i="13"/>
  <c r="C15" i="13" s="1"/>
  <c r="H647" i="1"/>
  <c r="J647" i="1" s="1"/>
  <c r="C124" i="2"/>
  <c r="C21" i="10"/>
  <c r="F662" i="1"/>
  <c r="I662" i="1" s="1"/>
  <c r="D14" i="13"/>
  <c r="C14" i="13" s="1"/>
  <c r="C123" i="2"/>
  <c r="C18" i="10"/>
  <c r="D12" i="13"/>
  <c r="C12" i="13" s="1"/>
  <c r="K257" i="1"/>
  <c r="K271" i="1" s="1"/>
  <c r="J257" i="1"/>
  <c r="J271" i="1" s="1"/>
  <c r="I257" i="1"/>
  <c r="I271" i="1" s="1"/>
  <c r="C120" i="2"/>
  <c r="G257" i="1"/>
  <c r="G271" i="1" s="1"/>
  <c r="F257" i="1"/>
  <c r="F271" i="1" s="1"/>
  <c r="E8" i="13"/>
  <c r="C8" i="13" s="1"/>
  <c r="C17" i="10"/>
  <c r="D7" i="13"/>
  <c r="C7" i="13" s="1"/>
  <c r="D6" i="13"/>
  <c r="C6" i="13" s="1"/>
  <c r="C118" i="2"/>
  <c r="C110" i="2"/>
  <c r="L211" i="1"/>
  <c r="D5" i="13"/>
  <c r="C5" i="13" s="1"/>
  <c r="L247" i="1"/>
  <c r="H660" i="1" s="1"/>
  <c r="C11" i="10"/>
  <c r="H257" i="1"/>
  <c r="H271" i="1" s="1"/>
  <c r="C109" i="2"/>
  <c r="C70" i="2"/>
  <c r="C81" i="2"/>
  <c r="H52" i="1"/>
  <c r="H619" i="1" s="1"/>
  <c r="J619" i="1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C104" i="2" s="1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E104" i="2"/>
  <c r="I663" i="1"/>
  <c r="L408" i="1" l="1"/>
  <c r="G637" i="1" s="1"/>
  <c r="J637" i="1" s="1"/>
  <c r="C141" i="2"/>
  <c r="C144" i="2" s="1"/>
  <c r="H648" i="1"/>
  <c r="J648" i="1" s="1"/>
  <c r="G104" i="2"/>
  <c r="G664" i="1"/>
  <c r="G672" i="1" s="1"/>
  <c r="C5" i="10" s="1"/>
  <c r="C27" i="10"/>
  <c r="C28" i="10" s="1"/>
  <c r="D23" i="10" s="1"/>
  <c r="F660" i="1"/>
  <c r="F664" i="1" s="1"/>
  <c r="D31" i="13"/>
  <c r="C31" i="13" s="1"/>
  <c r="C128" i="2"/>
  <c r="E33" i="13"/>
  <c r="D35" i="13" s="1"/>
  <c r="C115" i="2"/>
  <c r="H664" i="1"/>
  <c r="L257" i="1"/>
  <c r="L271" i="1" s="1"/>
  <c r="G632" i="1" s="1"/>
  <c r="J632" i="1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C145" i="2" l="1"/>
  <c r="H646" i="1"/>
  <c r="J646" i="1" s="1"/>
  <c r="G667" i="1"/>
  <c r="I660" i="1"/>
  <c r="I664" i="1" s="1"/>
  <c r="I672" i="1" s="1"/>
  <c r="C7" i="10" s="1"/>
  <c r="F672" i="1"/>
  <c r="C4" i="10" s="1"/>
  <c r="F667" i="1"/>
  <c r="D25" i="10"/>
  <c r="D12" i="10"/>
  <c r="D13" i="10"/>
  <c r="D11" i="10"/>
  <c r="D18" i="10"/>
  <c r="D19" i="10"/>
  <c r="D20" i="10"/>
  <c r="D17" i="10"/>
  <c r="D22" i="10"/>
  <c r="D27" i="10"/>
  <c r="D15" i="10"/>
  <c r="D21" i="10"/>
  <c r="D24" i="10"/>
  <c r="D10" i="10"/>
  <c r="D26" i="10"/>
  <c r="C30" i="10"/>
  <c r="D16" i="10"/>
  <c r="H672" i="1"/>
  <c r="C6" i="10" s="1"/>
  <c r="H667" i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<sst xmlns="http://schemas.openxmlformats.org/spreadsheetml/2006/main" count="3955" uniqueCount="912">
  <si>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</si>
  <si>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</si>
  <si>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</si>
  <si>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</si>
  <si>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</si>
  <si>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</si>
  <si>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</si>
  <si>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</si>
  <si>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</si>
  <si>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</si>
  <si>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</si>
  <si>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</si>
  <si>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</si>
  <si>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</si>
  <si>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</si>
  <si>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</si>
  <si>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</si>
  <si>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</si>
  <si>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</si>
  <si>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</si>
  <si>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</si>
  <si>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</si>
  <si>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</si>
  <si>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</si>
  <si>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</si>
  <si>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</si>
  <si>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</si>
  <si>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</si>
  <si>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</si>
  <si>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</si>
  <si>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</si>
  <si>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</si>
  <si>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</si>
  <si>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</si>
  <si>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</si>
  <si>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</si>
  <si>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</si>
  <si>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</si>
  <si>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</si>
  <si>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</si>
  <si>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</si>
  <si>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</si>
  <si>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</si>
  <si>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</si>
  <si>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</si>
  <si>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</si>
  <si>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</si>
  <si>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</si>
  <si>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</si>
  <si>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</si>
  <si>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</si>
  <si>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</si>
  <si>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</si>
  <si>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</si>
  <si>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</si>
  <si>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</si>
  <si>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</si>
  <si>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</si>
  <si>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</si>
  <si>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</si>
  <si>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</si>
  <si>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</si>
  <si>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</si>
  <si>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</si>
  <si>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</si>
  <si>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</si>
  <si>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</si>
  <si>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</si>
  <si>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</si>
  <si>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</si>
  <si>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</si>
  <si>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</si>
  <si>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</si>
  <si>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</si>
  <si>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</si>
  <si>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</si>
  <si>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</si>
  <si>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</si>
  <si>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</si>
  <si>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</si>
  <si>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</si>
  <si>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</si>
  <si>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</si>
  <si>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</si>
  <si>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</si>
  <si>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</si>
  <si>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</si>
  <si>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</si>
  <si>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</si>
  <si>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</si>
  <si>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</si>
  <si>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</si>
  <si>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</si>
  <si>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</si>
  <si>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</si>
  <si>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</si>
  <si>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</si>
  <si>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</si>
  <si>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</si>
  <si>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</si>
  <si>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</si>
  <si>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</si>
  <si>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</si>
  <si>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</si>
  <si>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</si>
  <si>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</si>
  <si>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</si>
  <si>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</si>
  <si>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</si>
  <si>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</si>
  <si>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</si>
  <si>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</si>
  <si>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</si>
  <si>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</si>
  <si>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</si>
  <si>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</si>
  <si>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</si>
  <si>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</si>
  <si>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</si>
  <si>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</si>
  <si>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</si>
  <si>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</si>
  <si>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</si>
  <si>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</si>
  <si>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</si>
  <si>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</si>
  <si>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</si>
  <si>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</si>
  <si>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</si>
  <si>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</si>
  <si>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</si>
  <si>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</si>
  <si>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</si>
  <si>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</si>
  <si>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</si>
  <si>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</si>
  <si>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</si>
  <si>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</si>
  <si>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</si>
  <si>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</si>
  <si>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</si>
  <si>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</si>
  <si>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</si>
  <si>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</si>
  <si>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</si>
  <si>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</si>
  <si>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</si>
  <si>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</si>
  <si>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</si>
  <si>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</si>
  <si>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</si>
  <si>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</si>
  <si>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</si>
  <si>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</si>
  <si>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</si>
  <si>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</si>
  <si>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</si>
  <si>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</si>
  <si>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</si>
  <si>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</si>
  <si>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</si>
  <si>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</si>
  <si>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</si>
  <si>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</si>
  <si>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</si>
  <si>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</si>
  <si>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</si>
  <si>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</si>
  <si>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</si>
  <si>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</si>
  <si>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</si>
  <si>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</si>
  <si>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</si>
  <si>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</si>
  <si>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</si>
  <si>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</si>
  <si>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</si>
  <si>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</si>
  <si>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</si>
  <si>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</si>
  <si>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</si>
  <si>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</si>
  <si>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</si>
  <si>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</si>
  <si>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</si>
  <si>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</si>
  <si>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</si>
  <si>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</si>
  <si>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</si>
  <si>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</si>
  <si>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</si>
  <si>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</si>
  <si>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</si>
  <si>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</si>
  <si>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</si>
  <si>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</si>
  <si>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</si>
  <si>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</si>
  <si>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</si>
  <si>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</si>
  <si>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</si>
  <si>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</si>
  <si>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</si>
  <si>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</si>
  <si>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</si>
  <si>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</si>
  <si>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</si>
  <si>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</si>
  <si>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</si>
  <si>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</si>
  <si>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</si>
  <si>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</si>
  <si>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</si>
  <si>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</si>
  <si>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</si>
  <si>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</si>
  <si>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</si>
  <si>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</si>
  <si>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</si>
  <si>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</si>
  <si>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</si>
  <si>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</si>
  <si>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</si>
  <si>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</si>
  <si>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</si>
  <si>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</si>
  <si>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</si>
  <si>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</si>
  <si>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</si>
  <si>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</si>
  <si>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</si>
  <si>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</si>
  <si>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</si>
  <si>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</si>
  <si>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</si>
  <si>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</si>
  <si>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</si>
  <si>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</si>
  <si>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</si>
  <si>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</si>
  <si>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</si>
  <si>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</si>
  <si>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</si>
  <si>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</si>
  <si>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</si>
  <si>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</si>
  <si>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</si>
  <si>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</si>
  <si>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</si>
  <si>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</si>
  <si>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</si>
  <si>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</si>
  <si>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</si>
  <si>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</si>
  <si>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</si>
  <si>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</si>
  <si>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</si>
  <si>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</si>
  <si>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</si>
  <si>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</si>
  <si>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</si>
  <si>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</si>
  <si>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</si>
  <si>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</si>
  <si>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</si>
  <si>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</si>
  <si>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</si>
  <si>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</si>
  <si>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</si>
  <si>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</si>
  <si>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</si>
  <si>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</si>
  <si>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</si>
  <si>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</si>
  <si>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</si>
  <si>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</si>
  <si>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</si>
  <si>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</si>
  <si>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</si>
  <si>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</si>
  <si>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</si>
  <si>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</si>
  <si>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</si>
  <si>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</si>
  <si>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</si>
  <si>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</si>
  <si>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</si>
  <si>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</si>
  <si>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</si>
  <si>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</si>
  <si>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</si>
  <si>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</si>
  <si>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</si>
  <si>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</si>
  <si>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</si>
  <si>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</si>
  <si>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</si>
  <si>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</si>
  <si>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</si>
  <si>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</si>
  <si>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</si>
  <si>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</si>
  <si>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</si>
  <si>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</si>
  <si>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</si>
  <si>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</si>
  <si>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</si>
  <si>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</si>
  <si>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</si>
  <si>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</si>
  <si>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</si>
  <si>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</si>
  <si>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</si>
  <si>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</si>
  <si>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</si>
  <si>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</si>
  <si>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</si>
  <si>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</si>
  <si>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</si>
  <si>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</si>
  <si>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</si>
  <si>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</si>
  <si>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</si>
  <si>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</si>
  <si>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</si>
  <si>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</si>
  <si>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</si>
  <si>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</si>
  <si>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</si>
  <si>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</si>
  <si>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</si>
  <si>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</si>
  <si>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</si>
  <si>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</si>
  <si>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</si>
  <si>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</si>
  <si>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</si>
  <si>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</si>
  <si>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</si>
  <si>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</si>
  <si>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</si>
  <si>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</si>
  <si>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</si>
  <si>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</si>
  <si>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</si>
  <si>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</si>
  <si>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</si>
  <si>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</si>
  <si>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</si>
  <si>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</si>
  <si>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</si>
  <si>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</si>
  <si>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</si>
  <si>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</si>
  <si>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</si>
  <si>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</si>
  <si>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</si>
  <si>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</si>
  <si>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</si>
  <si>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</si>
  <si>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</si>
  <si>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</si>
  <si>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</si>
  <si>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</si>
  <si>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</si>
  <si>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</si>
  <si>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</si>
  <si>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</si>
  <si>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</si>
  <si>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</si>
  <si>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</si>
  <si>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</si>
  <si>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</si>
  <si>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</si>
  <si>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</si>
  <si>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</si>
  <si>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</si>
  <si>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</si>
  <si>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</si>
  <si>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</si>
  <si>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</si>
  <si>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</si>
  <si>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</si>
  <si>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</si>
  <si>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</si>
  <si>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</si>
  <si>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</si>
  <si>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</si>
  <si>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</si>
  <si>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</si>
  <si>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</si>
  <si>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</si>
  <si>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</si>
  <si>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</si>
  <si>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</si>
  <si>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</si>
  <si>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</si>
  <si>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</si>
  <si>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</si>
  <si>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</si>
  <si>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</si>
  <si>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</si>
  <si>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</si>
  <si>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</si>
  <si>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</si>
  <si>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</si>
  <si>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</si>
  <si>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</si>
  <si>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</si>
  <si>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</si>
  <si>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</si>
  <si>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</si>
  <si>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</si>
  <si>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</si>
  <si>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</si>
  <si>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</si>
  <si>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</si>
  <si>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</si>
  <si>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</si>
  <si>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</si>
  <si>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</si>
  <si>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</si>
  <si>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</si>
  <si>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</si>
  <si>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</si>
  <si>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</si>
  <si>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</si>
  <si>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</si>
  <si>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</si>
  <si>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</si>
  <si>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</si>
  <si>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</si>
  <si>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</si>
  <si>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</si>
  <si>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</si>
  <si>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</si>
  <si>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</si>
  <si>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</si>
  <si>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</si>
  <si>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</si>
  <si>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</si>
  <si>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</si>
  <si>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</si>
  <si>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</si>
  <si>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</si>
  <si>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</si>
  <si>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</si>
  <si>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</si>
  <si>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</si>
  <si>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</si>
  <si>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</si>
  <si>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</si>
  <si>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</si>
  <si>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</si>
  <si>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</si>
  <si>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</si>
  <si>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</si>
  <si>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</si>
  <si>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</si>
  <si>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</si>
  <si>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</si>
  <si>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</si>
  <si>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</si>
  <si>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</si>
  <si>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</si>
  <si>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</si>
  <si>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</si>
  <si>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</si>
  <si>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</si>
  <si>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</si>
  <si>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</si>
  <si>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</si>
  <si>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</si>
  <si>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</si>
  <si>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</si>
  <si>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</si>
  <si>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</si>
  <si>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</si>
  <si>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</si>
  <si>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</si>
  <si>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</si>
  <si>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</si>
  <si>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</si>
  <si>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</si>
  <si>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</si>
  <si>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</si>
  <si>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</si>
  <si>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</si>
  <si>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</si>
  <si>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</si>
  <si>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</si>
  <si>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</si>
  <si>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</si>
  <si>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</si>
  <si>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</si>
  <si>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</si>
  <si>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</si>
  <si>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</si>
  <si>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</si>
  <si>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</si>
  <si>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</si>
  <si>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</si>
  <si>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</si>
  <si>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</si>
  <si>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</si>
  <si>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</si>
  <si>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</si>
  <si>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</si>
  <si>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</si>
  <si>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</si>
  <si>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</si>
  <si>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</si>
  <si>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</si>
  <si>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</si>
  <si>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</si>
  <si>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</si>
  <si>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</si>
  <si>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</si>
  <si>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</si>
  <si>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</si>
  <si>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</si>
  <si>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</si>
  <si>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</si>
  <si>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</si>
  <si>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</si>
  <si>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</si>
  <si>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</si>
  <si>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</si>
  <si>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</si>
  <si>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</si>
  <si>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</si>
  <si>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</si>
  <si>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</si>
  <si>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</si>
  <si>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</si>
  <si>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</si>
  <si>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</si>
  <si>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</si>
  <si>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</si>
  <si>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</si>
  <si>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</si>
  <si>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</si>
  <si>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</si>
  <si>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</si>
  <si>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</si>
  <si>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</si>
  <si>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</si>
  <si>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</si>
  <si>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</si>
  <si>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</si>
  <si>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</si>
  <si>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</si>
  <si>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</si>
  <si>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</si>
  <si>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</si>
  <si>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</si>
  <si>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</si>
  <si>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</si>
  <si>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</si>
  <si>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</si>
  <si>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</si>
  <si>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</si>
  <si>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</si>
  <si>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</si>
  <si>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</si>
  <si>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</si>
  <si>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</si>
  <si>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</si>
  <si>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</si>
  <si>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</si>
  <si>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</si>
  <si>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</si>
  <si>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</si>
  <si>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</si>
  <si>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</si>
  <si>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</si>
  <si>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</si>
  <si>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</si>
  <si>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</si>
  <si>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</si>
  <si>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</si>
  <si>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</si>
  <si>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</si>
  <si>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</si>
  <si>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</si>
  <si>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</si>
  <si>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</si>
  <si>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</si>
  <si>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</si>
  <si>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</si>
  <si>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</si>
  <si>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</si>
  <si>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</si>
  <si>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</si>
  <si>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</si>
  <si>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</si>
  <si>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</si>
  <si>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</si>
  <si>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</si>
  <si>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</si>
  <si>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</si>
  <si>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</si>
  <si>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</si>
  <si>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</si>
  <si>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</si>
  <si>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</si>
  <si>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</si>
  <si>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</si>
  <si>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</si>
  <si>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</si>
  <si>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</si>
  <si>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</si>
  <si>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</si>
  <si>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</si>
  <si>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</si>
  <si>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</si>
  <si>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</si>
  <si>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</si>
  <si>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</si>
  <si>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</si>
  <si>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</si>
  <si>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</si>
  <si>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</si>
  <si>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</si>
  <si>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</si>
  <si>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</si>
  <si>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</si>
  <si>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</si>
  <si>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</si>
  <si>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</si>
  <si>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</si>
  <si>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</si>
  <si>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</si>
  <si>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</si>
  <si>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</si>
  <si>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</si>
  <si>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</si>
  <si>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</si>
  <si>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</si>
  <si>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</si>
  <si>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</si>
  <si>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</si>
  <si>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</si>
  <si>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</si>
  <si>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</si>
  <si>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</si>
  <si>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</si>
  <si>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</si>
  <si>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</si>
  <si>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</si>
  <si>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</si>
  <si>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</si>
  <si>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</si>
  <si>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</si>
  <si>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</si>
  <si>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</si>
  <si>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</si>
  <si>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</si>
  <si>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</si>
  <si>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</si>
  <si>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</si>
  <si>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</si>
  <si>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</si>
  <si>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</si>
  <si>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</si>
  <si>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</si>
  <si>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</si>
  <si>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</si>
  <si>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</si>
  <si>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</si>
  <si>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</si>
  <si>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</si>
  <si>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</si>
  <si>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</si>
  <si>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</si>
  <si>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</si>
  <si>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</si>
  <si>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</si>
  <si>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</si>
  <si>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</si>
  <si>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</si>
  <si>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</si>
  <si>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</si>
  <si>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</si>
  <si>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</si>
  <si>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</si>
  <si>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</si>
  <si>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</si>
  <si>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</si>
  <si>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</si>
  <si>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</si>
  <si>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</si>
  <si>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</si>
  <si>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</si>
  <si>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</si>
  <si>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</si>
  <si>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</si>
  <si>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</si>
  <si>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</si>
  <si>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</si>
  <si>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</si>
  <si>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</si>
  <si>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</si>
  <si>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</si>
  <si>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</si>
  <si>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</si>
  <si>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</si>
  <si>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</si>
  <si>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</si>
  <si>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</si>
  <si>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</si>
  <si>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</si>
  <si>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</si>
  <si>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</si>
  <si>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</si>
  <si>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</si>
  <si>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</si>
  <si>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</si>
  <si>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</si>
  <si>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</si>
  <si>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</si>
  <si>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</si>
  <si>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</si>
  <si>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</si>
  <si>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</si>
  <si>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</si>
  <si>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</si>
  <si>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</si>
  <si>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</si>
  <si>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</si>
  <si>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</si>
  <si>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</si>
  <si>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</si>
  <si>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</si>
  <si>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</si>
  <si>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</si>
  <si>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</si>
  <si>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</si>
  <si>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</si>
  <si>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</si>
  <si>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</si>
  <si>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</si>
  <si>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</si>
  <si>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</si>
  <si>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</si>
  <si>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</si>
  <si>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</si>
  <si>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</si>
  <si>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</si>
  <si>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</si>
  <si>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</si>
  <si>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</si>
  <si>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</si>
  <si>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</si>
  <si>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</si>
  <si>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</si>
  <si>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</si>
  <si>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</si>
  <si>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</si>
  <si>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</si>
  <si>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</si>
  <si>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</si>
  <si>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</si>
  <si>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</si>
  <si>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</si>
  <si>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</si>
  <si>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</si>
  <si>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</si>
  <si>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</si>
  <si>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</si>
  <si>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</si>
  <si>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</si>
  <si>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</si>
  <si>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</si>
  <si>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</si>
  <si>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</si>
  <si>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</si>
  <si>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</si>
  <si>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</si>
  <si>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</si>
  <si>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</si>
  <si>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</si>
  <si>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</si>
  <si>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</si>
  <si>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</si>
  <si>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</si>
  <si>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</si>
  <si>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</si>
  <si>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</si>
  <si>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</si>
  <si>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</si>
  <si>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</si>
  <si>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</si>
  <si>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</si>
  <si>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</si>
  <si>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</si>
  <si>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</si>
  <si>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</si>
  <si>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</si>
  <si>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</si>
  <si>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</si>
  <si>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</si>
  <si>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</si>
  <si>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</si>
  <si>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</si>
  <si>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</si>
  <si>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</si>
  <si>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</si>
  <si>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</si>
  <si>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</si>
  <si>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</si>
  <si>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</si>
  <si>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</si>
  <si>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</si>
  <si>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</si>
  <si>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</si>
  <si>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</si>
  <si>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</si>
  <si>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</si>
  <si>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</si>
  <si>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</si>
  <si>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</si>
  <si>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</si>
  <si>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</si>
  <si>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</si>
  <si>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</si>
  <si>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</si>
  <si>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</si>
  <si>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</si>
  <si>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</si>
  <si>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</si>
  <si>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</si>
  <si>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</si>
  <si>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</si>
  <si>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</si>
  <si>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</si>
  <si>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</si>
  <si>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</si>
  <si>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</si>
  <si>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</si>
  <si>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</si>
  <si>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</si>
  <si>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</si>
  <si>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</si>
  <si>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</si>
  <si>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</si>
  <si>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</si>
  <si>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</si>
  <si>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</si>
  <si>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</si>
  <si>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</si>
  <si>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</si>
  <si>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</si>
  <si>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</si>
  <si>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</si>
  <si>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</si>
  <si>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</si>
  <si>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</si>
  <si>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</si>
  <si>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</si>
  <si>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</si>
  <si>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</si>
  <si>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</si>
  <si>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</si>
  <si>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</si>
  <si>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</si>
  <si>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</si>
  <si>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</si>
  <si>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</si>
  <si>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</si>
  <si>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</si>
  <si>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</si>
  <si>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</si>
  <si>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</si>
  <si>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</si>
  <si>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</si>
  <si>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</si>
  <si>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</si>
  <si>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</si>
  <si>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</si>
  <si>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</si>
  <si>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</si>
  <si>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</si>
  <si>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</si>
  <si>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</si>
  <si>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</si>
  <si>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</si>
  <si>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</si>
  <si>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</si>
  <si>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</si>
  <si>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</si>
  <si>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</si>
  <si>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</si>
  <si>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</si>
  <si>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</si>
  <si>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</si>
  <si>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</si>
  <si>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</si>
  <si>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</si>
  <si>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</si>
  <si>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</si>
  <si>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</si>
  <si>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</si>
  <si>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</si>
  <si>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</si>
  <si>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</si>
  <si>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</si>
  <si>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</si>
  <si>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</si>
  <si>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</si>
  <si>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</si>
  <si>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STARK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</si>
</sst>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C4" sqref="C4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499</v>
      </c>
      <c r="C2" s="21">
        <v>499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38979.5+1005.07</f>
        <v>39984.57</v>
      </c>
      <c r="G9" s="18"/>
      <c r="H9" s="18"/>
      <c r="I9" s="18"/>
      <c r="J9" s="67">
        <f>SUM(I439)</f>
        <v>212480.48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9606.2000000000007</v>
      </c>
      <c r="G12" s="18"/>
      <c r="H12" s="18">
        <v>0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5733.12+760.19</f>
        <v>6493.3099999999995</v>
      </c>
      <c r="G14" s="18">
        <v>760.19</v>
      </c>
      <c r="H14" s="18">
        <v>5733.12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56084.08</v>
      </c>
      <c r="G19" s="41">
        <f>SUM(G9:G18)</f>
        <v>760.19</v>
      </c>
      <c r="H19" s="41">
        <f>SUM(H9:H18)</f>
        <v>5733.12</v>
      </c>
      <c r="I19" s="41">
        <f>SUM(I9:I18)</f>
        <v>0</v>
      </c>
      <c r="J19" s="41">
        <f>SUM(J9:J18)</f>
        <v>212480.48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0</f>
        <v>0</v>
      </c>
      <c r="G22" s="18">
        <v>760.19</v>
      </c>
      <c r="H22" s="18">
        <v>5733.12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760.19</v>
      </c>
      <c r="H32" s="41">
        <f>SUM(H22:H31)</f>
        <v>5733.12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212480.48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40000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12888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3196.08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56084.08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212480.48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56084.08</v>
      </c>
      <c r="G52" s="41">
        <f>G51+G32</f>
        <v>760.19</v>
      </c>
      <c r="H52" s="41">
        <f>H51+H32</f>
        <v>5733.12</v>
      </c>
      <c r="I52" s="41">
        <f>I51+I32</f>
        <v>0</v>
      </c>
      <c r="J52" s="41">
        <f>J51+J32</f>
        <v>212480.48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384291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384291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133.18</v>
      </c>
      <c r="G96" s="18"/>
      <c r="H96" s="18"/>
      <c r="I96" s="18"/>
      <c r="J96" s="18">
        <v>2285.1999999999998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6840.61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494.36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627.54</v>
      </c>
      <c r="G111" s="41">
        <f>SUM(G96:G110)</f>
        <v>6840.61</v>
      </c>
      <c r="H111" s="41">
        <f>SUM(H96:H110)</f>
        <v>0</v>
      </c>
      <c r="I111" s="41">
        <f>SUM(I96:I110)</f>
        <v>0</v>
      </c>
      <c r="J111" s="41">
        <f>SUM(J96:J110)</f>
        <v>2285.1999999999998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384918.54</v>
      </c>
      <c r="G112" s="41">
        <f>G60+G111</f>
        <v>6840.61</v>
      </c>
      <c r="H112" s="41">
        <f>H60+H79+H94+H111</f>
        <v>0</v>
      </c>
      <c r="I112" s="41">
        <f>I60+I111</f>
        <v>0</v>
      </c>
      <c r="J112" s="41">
        <f>J60+J111</f>
        <v>2285.1999999999998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286876.02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131240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418116.02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214.3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214.3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418116.02</v>
      </c>
      <c r="G140" s="41">
        <f>G121+SUM(G136:G137)</f>
        <v>214.3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15801.36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20129.63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12747.28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15561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140.65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15701.65</v>
      </c>
      <c r="G162" s="41">
        <f>SUM(G150:G161)</f>
        <v>12747.28</v>
      </c>
      <c r="H162" s="41">
        <f>SUM(H150:H161)</f>
        <v>35930.990000000005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15638.76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31340.41</v>
      </c>
      <c r="G169" s="41">
        <f>G147+G162+SUM(G163:G168)</f>
        <v>12747.28</v>
      </c>
      <c r="H169" s="41">
        <f>H147+H162+SUM(H163:H168)</f>
        <v>35930.990000000005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5168.92</v>
      </c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25000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25000</v>
      </c>
      <c r="G183" s="41">
        <f>SUM(G179:G182)</f>
        <v>5168.92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 t="s">
        <v>327</v>
      </c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25000</v>
      </c>
      <c r="G192" s="41">
        <f>G183+SUM(G188:G191)</f>
        <v>5168.92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859374.97000000009</v>
      </c>
      <c r="G193" s="47">
        <f>G112+G140+G169+G192</f>
        <v>24971.11</v>
      </c>
      <c r="H193" s="47">
        <f>H112+H140+H169+H192</f>
        <v>35930.990000000005</v>
      </c>
      <c r="I193" s="47">
        <f>I112+I140+I169+I192</f>
        <v>0</v>
      </c>
      <c r="J193" s="47">
        <f>J112+J140+J192</f>
        <v>52285.2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139199.47+6000+2441.75</f>
        <v>147641.22</v>
      </c>
      <c r="G197" s="18">
        <f>23616.64+661.35+11252.78+18392.93+1852.92</f>
        <v>55776.619999999995</v>
      </c>
      <c r="H197" s="18">
        <f>11118+2499.03+700+1349.42</f>
        <v>15666.45</v>
      </c>
      <c r="I197" s="18">
        <f>1808.6+811.74</f>
        <v>2620.34</v>
      </c>
      <c r="J197" s="18">
        <f>2500</f>
        <v>2500</v>
      </c>
      <c r="K197" s="18">
        <v>0</v>
      </c>
      <c r="L197" s="19">
        <f>SUM(F197:K197)</f>
        <v>224204.63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2000</v>
      </c>
      <c r="G198" s="18">
        <f>153+283.2+64.59</f>
        <v>500.78999999999996</v>
      </c>
      <c r="H198" s="18">
        <f>15290.19-979.2</f>
        <v>14310.99</v>
      </c>
      <c r="I198" s="18">
        <v>0</v>
      </c>
      <c r="J198" s="18">
        <v>0</v>
      </c>
      <c r="K198" s="18">
        <v>0</v>
      </c>
      <c r="L198" s="19">
        <f>SUM(F198:K198)</f>
        <v>16811.78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3630+2625</f>
        <v>6255</v>
      </c>
      <c r="G200" s="18">
        <f>277.7+514.01+200.79+33.98</f>
        <v>1026.48</v>
      </c>
      <c r="H200" s="18">
        <v>400</v>
      </c>
      <c r="I200" s="18">
        <f>181.7+102.63</f>
        <v>284.33</v>
      </c>
      <c r="J200" s="18">
        <v>0</v>
      </c>
      <c r="K200" s="18">
        <v>0</v>
      </c>
      <c r="L200" s="19">
        <f>SUM(F200:K200)</f>
        <v>7965.8099999999995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0</v>
      </c>
      <c r="G202" s="18">
        <v>0</v>
      </c>
      <c r="H202" s="18">
        <f>7135.95+1353.78</f>
        <v>8489.73</v>
      </c>
      <c r="I202" s="18">
        <v>120.69</v>
      </c>
      <c r="J202" s="18">
        <v>0</v>
      </c>
      <c r="K202" s="18">
        <v>0</v>
      </c>
      <c r="L202" s="19">
        <f t="shared" ref="L202:L208" si="0">SUM(F202:K202)</f>
        <v>8610.42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2156+1057.5</f>
        <v>3213.5</v>
      </c>
      <c r="G203" s="18">
        <f>165+80.79+38.22+32.3</f>
        <v>316.31</v>
      </c>
      <c r="H203" s="18">
        <f>2720.06+397.32</f>
        <v>3117.38</v>
      </c>
      <c r="I203" s="18">
        <f>67.52+150-190.91+337.65</f>
        <v>364.26</v>
      </c>
      <c r="J203" s="18">
        <v>0</v>
      </c>
      <c r="K203" s="18">
        <v>0</v>
      </c>
      <c r="L203" s="19">
        <f t="shared" si="0"/>
        <v>7011.4500000000007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1920</v>
      </c>
      <c r="G204" s="18">
        <v>147.28</v>
      </c>
      <c r="H204" s="18">
        <v>60670.95</v>
      </c>
      <c r="I204" s="18">
        <v>580</v>
      </c>
      <c r="J204" s="18">
        <v>0</v>
      </c>
      <c r="K204" s="18">
        <v>1250.4100000000001</v>
      </c>
      <c r="L204" s="19">
        <f t="shared" si="0"/>
        <v>64568.639999999999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13175.76+10340.05</f>
        <v>23515.809999999998</v>
      </c>
      <c r="G205" s="18">
        <f>1960.01+76.27+1791.39+1865.74+587.79</f>
        <v>6281.2</v>
      </c>
      <c r="H205" s="18">
        <f>200+682.94+4017.49+200.82</f>
        <v>5101.25</v>
      </c>
      <c r="I205" s="18">
        <f>596.72+101.45+1201+268.8</f>
        <v>2167.9700000000003</v>
      </c>
      <c r="J205" s="18">
        <v>332.98</v>
      </c>
      <c r="K205" s="18">
        <f>1280.75+222.24+125</f>
        <v>1627.99</v>
      </c>
      <c r="L205" s="19">
        <f t="shared" si="0"/>
        <v>39027.199999999997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10170+3230.25</f>
        <v>13400.25</v>
      </c>
      <c r="G207" s="18">
        <f>1025.12+55.23+499.4</f>
        <v>1579.75</v>
      </c>
      <c r="H207" s="18">
        <f>660+3889+18543.76+3000+546.39</f>
        <v>26639.149999999998</v>
      </c>
      <c r="I207" s="18">
        <f>3266.78+4876.53+734.18+9825.91</f>
        <v>18703.400000000001</v>
      </c>
      <c r="J207" s="18">
        <v>399.99</v>
      </c>
      <c r="K207" s="18">
        <v>0</v>
      </c>
      <c r="L207" s="19">
        <f t="shared" si="0"/>
        <v>60722.539999999994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f>24855.1+1000</f>
        <v>25855.1</v>
      </c>
      <c r="I208" s="18">
        <v>0</v>
      </c>
      <c r="J208" s="18">
        <v>0</v>
      </c>
      <c r="K208" s="18">
        <v>0</v>
      </c>
      <c r="L208" s="19">
        <f t="shared" si="0"/>
        <v>25855.1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197945.78</v>
      </c>
      <c r="G211" s="41">
        <f t="shared" si="1"/>
        <v>65628.429999999993</v>
      </c>
      <c r="H211" s="41">
        <f t="shared" si="1"/>
        <v>160251</v>
      </c>
      <c r="I211" s="41">
        <f t="shared" si="1"/>
        <v>24840.99</v>
      </c>
      <c r="J211" s="41">
        <f t="shared" si="1"/>
        <v>3232.9700000000003</v>
      </c>
      <c r="K211" s="41">
        <f t="shared" si="1"/>
        <v>2878.4</v>
      </c>
      <c r="L211" s="41">
        <f t="shared" si="1"/>
        <v>454777.57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57894.78+194240.39</f>
        <v>252135.17</v>
      </c>
      <c r="I233" s="18"/>
      <c r="J233" s="18"/>
      <c r="K233" s="18"/>
      <c r="L233" s="19">
        <f>SUM(F233:K233)</f>
        <v>252135.17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5175</v>
      </c>
      <c r="I234" s="18"/>
      <c r="J234" s="18"/>
      <c r="K234" s="18"/>
      <c r="L234" s="19">
        <f>SUM(F234:K234)</f>
        <v>5175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1390</v>
      </c>
      <c r="G240" s="18">
        <v>106</v>
      </c>
      <c r="H240" s="18">
        <v>43934</v>
      </c>
      <c r="I240" s="18">
        <v>420</v>
      </c>
      <c r="J240" s="18">
        <v>0</v>
      </c>
      <c r="K240" s="18">
        <v>906</v>
      </c>
      <c r="L240" s="19">
        <f t="shared" si="4"/>
        <v>46756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22475.1</v>
      </c>
      <c r="I244" s="18">
        <v>0</v>
      </c>
      <c r="J244" s="18">
        <v>0</v>
      </c>
      <c r="K244" s="18">
        <v>0</v>
      </c>
      <c r="L244" s="19">
        <f t="shared" si="4"/>
        <v>22475.1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1390</v>
      </c>
      <c r="G247" s="41">
        <f t="shared" si="5"/>
        <v>106</v>
      </c>
      <c r="H247" s="41">
        <f t="shared" si="5"/>
        <v>323719.27</v>
      </c>
      <c r="I247" s="41">
        <f t="shared" si="5"/>
        <v>420</v>
      </c>
      <c r="J247" s="41">
        <f t="shared" si="5"/>
        <v>0</v>
      </c>
      <c r="K247" s="41">
        <f t="shared" si="5"/>
        <v>906</v>
      </c>
      <c r="L247" s="41">
        <f t="shared" si="5"/>
        <v>326541.27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3022.31</v>
      </c>
      <c r="I255" s="18"/>
      <c r="J255" s="18"/>
      <c r="K255" s="18"/>
      <c r="L255" s="19">
        <f t="shared" si="6"/>
        <v>3022.31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3022.31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3022.31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199335.78</v>
      </c>
      <c r="G257" s="41">
        <f t="shared" si="8"/>
        <v>65734.429999999993</v>
      </c>
      <c r="H257" s="41">
        <f t="shared" si="8"/>
        <v>486992.58</v>
      </c>
      <c r="I257" s="41">
        <f t="shared" si="8"/>
        <v>25260.99</v>
      </c>
      <c r="J257" s="41">
        <f t="shared" si="8"/>
        <v>3232.9700000000003</v>
      </c>
      <c r="K257" s="41">
        <f t="shared" si="8"/>
        <v>3784.4</v>
      </c>
      <c r="L257" s="41">
        <f t="shared" si="8"/>
        <v>784341.15000000014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5168.92</v>
      </c>
      <c r="L263" s="19">
        <f>SUM(F263:K263)</f>
        <v>5168.92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55168.92</v>
      </c>
      <c r="L270" s="41">
        <f t="shared" si="9"/>
        <v>55168.92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199335.78</v>
      </c>
      <c r="G271" s="42">
        <f t="shared" si="11"/>
        <v>65734.429999999993</v>
      </c>
      <c r="H271" s="42">
        <f t="shared" si="11"/>
        <v>486992.58</v>
      </c>
      <c r="I271" s="42">
        <f t="shared" si="11"/>
        <v>25260.99</v>
      </c>
      <c r="J271" s="42">
        <f t="shared" si="11"/>
        <v>3232.9700000000003</v>
      </c>
      <c r="K271" s="42">
        <f t="shared" si="11"/>
        <v>58953.32</v>
      </c>
      <c r="L271" s="42">
        <f t="shared" si="11"/>
        <v>839510.07000000018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19203.36</f>
        <v>19203.36</v>
      </c>
      <c r="G276" s="18">
        <f>555.39+21.72+1466.48+885.02</f>
        <v>2928.61</v>
      </c>
      <c r="H276" s="18">
        <f>389.13+690.83</f>
        <v>1079.96</v>
      </c>
      <c r="I276" s="18">
        <f>5028.46+30.86+3074.4</f>
        <v>8133.7199999999993</v>
      </c>
      <c r="J276" s="18">
        <f>3585.34</f>
        <v>3585.34</v>
      </c>
      <c r="K276" s="18">
        <v>0</v>
      </c>
      <c r="L276" s="19">
        <f>SUM(F276:K276)</f>
        <v>34930.990000000005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0</v>
      </c>
      <c r="G277" s="18">
        <v>0</v>
      </c>
      <c r="H277" s="18">
        <v>1000</v>
      </c>
      <c r="I277" s="18">
        <v>0</v>
      </c>
      <c r="J277" s="18">
        <v>0</v>
      </c>
      <c r="K277" s="18">
        <v>0</v>
      </c>
      <c r="L277" s="19">
        <f>SUM(F277:K277)</f>
        <v>1000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19203.36</v>
      </c>
      <c r="G290" s="42">
        <f t="shared" si="13"/>
        <v>2928.61</v>
      </c>
      <c r="H290" s="42">
        <f t="shared" si="13"/>
        <v>2079.96</v>
      </c>
      <c r="I290" s="42">
        <f t="shared" si="13"/>
        <v>8133.7199999999993</v>
      </c>
      <c r="J290" s="42">
        <f t="shared" si="13"/>
        <v>3585.34</v>
      </c>
      <c r="K290" s="42">
        <f t="shared" si="13"/>
        <v>0</v>
      </c>
      <c r="L290" s="41">
        <f t="shared" si="13"/>
        <v>35930.990000000005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19203.36</v>
      </c>
      <c r="G338" s="41">
        <f t="shared" si="20"/>
        <v>2928.61</v>
      </c>
      <c r="H338" s="41">
        <f t="shared" si="20"/>
        <v>2079.96</v>
      </c>
      <c r="I338" s="41">
        <f t="shared" si="20"/>
        <v>8133.7199999999993</v>
      </c>
      <c r="J338" s="41">
        <f t="shared" si="20"/>
        <v>3585.34</v>
      </c>
      <c r="K338" s="41">
        <f t="shared" si="20"/>
        <v>0</v>
      </c>
      <c r="L338" s="41">
        <f t="shared" si="20"/>
        <v>35930.990000000005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19203.36</v>
      </c>
      <c r="G352" s="41">
        <f>G338</f>
        <v>2928.61</v>
      </c>
      <c r="H352" s="41">
        <f>H338</f>
        <v>2079.96</v>
      </c>
      <c r="I352" s="41">
        <f>I338</f>
        <v>8133.7199999999993</v>
      </c>
      <c r="J352" s="41">
        <f>J338</f>
        <v>3585.34</v>
      </c>
      <c r="K352" s="47">
        <f>K338+K351</f>
        <v>0</v>
      </c>
      <c r="L352" s="41">
        <f>L338+L351</f>
        <v>35930.990000000005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0</v>
      </c>
      <c r="G358" s="18">
        <v>0</v>
      </c>
      <c r="H358" s="18">
        <f>23980.34+990.77</f>
        <v>24971.11</v>
      </c>
      <c r="I358" s="18">
        <v>0</v>
      </c>
      <c r="J358" s="18">
        <v>0</v>
      </c>
      <c r="K358" s="18">
        <v>0</v>
      </c>
      <c r="L358" s="13">
        <f>SUM(F358:K358)</f>
        <v>24971.11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24971.11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24971.11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0</v>
      </c>
      <c r="G367" s="18"/>
      <c r="H367" s="18">
        <v>0</v>
      </c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0</v>
      </c>
      <c r="G368" s="63"/>
      <c r="H368" s="63">
        <v>0</v>
      </c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-1423.08</v>
      </c>
      <c r="I396" s="18"/>
      <c r="J396" s="24" t="s">
        <v>289</v>
      </c>
      <c r="K396" s="24" t="s">
        <v>289</v>
      </c>
      <c r="L396" s="56">
        <f t="shared" si="26"/>
        <v>-1423.08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25000</v>
      </c>
      <c r="H397" s="18">
        <v>3091.93</v>
      </c>
      <c r="I397" s="18"/>
      <c r="J397" s="24" t="s">
        <v>289</v>
      </c>
      <c r="K397" s="24" t="s">
        <v>289</v>
      </c>
      <c r="L397" s="56">
        <f t="shared" si="26"/>
        <v>28091.93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25000</v>
      </c>
      <c r="H398" s="18">
        <v>616.35</v>
      </c>
      <c r="I398" s="18"/>
      <c r="J398" s="24" t="s">
        <v>289</v>
      </c>
      <c r="K398" s="24" t="s">
        <v>289</v>
      </c>
      <c r="L398" s="56">
        <f t="shared" si="26"/>
        <v>25616.35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2285.1999999999998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52285.2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2285.1999999999998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52285.2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212480.48</v>
      </c>
      <c r="H439" s="18"/>
      <c r="I439" s="56">
        <f t="shared" ref="I439:I445" si="33">SUM(F439:H439)</f>
        <v>212480.48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212480.48</v>
      </c>
      <c r="H446" s="13">
        <f>SUM(H439:H445)</f>
        <v>0</v>
      </c>
      <c r="I446" s="13">
        <f>SUM(I439:I445)</f>
        <v>212480.48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>
        <v>212480.48</v>
      </c>
      <c r="H456" s="18"/>
      <c r="I456" s="56">
        <f t="shared" si="34"/>
        <v>212480.48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212480.48</v>
      </c>
      <c r="H460" s="83">
        <f>SUM(H454:H459)</f>
        <v>0</v>
      </c>
      <c r="I460" s="83">
        <f>SUM(I454:I459)</f>
        <v>212480.48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212480.48</v>
      </c>
      <c r="H461" s="42">
        <f>H452+H460</f>
        <v>0</v>
      </c>
      <c r="I461" s="42">
        <f>I452+I460</f>
        <v>212480.48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36219.18</v>
      </c>
      <c r="G465" s="18"/>
      <c r="H465" s="18"/>
      <c r="I465" s="18"/>
      <c r="J465" s="18">
        <v>160195.28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859374.97</v>
      </c>
      <c r="G468" s="18">
        <v>24971.11</v>
      </c>
      <c r="H468" s="18">
        <v>35930.99</v>
      </c>
      <c r="I468" s="18"/>
      <c r="J468" s="18">
        <v>52285.2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859374.97</v>
      </c>
      <c r="G470" s="53">
        <f>SUM(G468:G469)</f>
        <v>24971.11</v>
      </c>
      <c r="H470" s="53">
        <f>SUM(H468:H469)</f>
        <v>35930.99</v>
      </c>
      <c r="I470" s="53">
        <f>SUM(I468:I469)</f>
        <v>0</v>
      </c>
      <c r="J470" s="53">
        <f>SUM(J468:J469)</f>
        <v>52285.2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840489.27-979.2</f>
        <v>839510.07000000007</v>
      </c>
      <c r="G472" s="18">
        <v>24971.11</v>
      </c>
      <c r="H472" s="18">
        <v>35930.99</v>
      </c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839510.07000000007</v>
      </c>
      <c r="G474" s="53">
        <f>SUM(G472:G473)</f>
        <v>24971.11</v>
      </c>
      <c r="H474" s="53">
        <f>SUM(H472:H473)</f>
        <v>35930.99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56084.079999999958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212480.47999999998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2000</v>
      </c>
      <c r="G521" s="18">
        <f>153+283.2+64.59</f>
        <v>500.78999999999996</v>
      </c>
      <c r="H521" s="18"/>
      <c r="I521" s="18"/>
      <c r="J521" s="18"/>
      <c r="K521" s="18"/>
      <c r="L521" s="88">
        <f>SUM(F521:K521)</f>
        <v>2500.79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2000</v>
      </c>
      <c r="G524" s="108">
        <f t="shared" ref="G524:L524" si="36">SUM(G521:G523)</f>
        <v>500.78999999999996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2500.79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15290.19-979.2</f>
        <v>14310.99</v>
      </c>
      <c r="I526" s="18"/>
      <c r="J526" s="18"/>
      <c r="K526" s="18"/>
      <c r="L526" s="88">
        <f>SUM(F526:K526)</f>
        <v>14310.99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5175</v>
      </c>
      <c r="I528" s="18"/>
      <c r="J528" s="18"/>
      <c r="K528" s="18"/>
      <c r="L528" s="88">
        <f>SUM(F528:K528)</f>
        <v>5175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19485.989999999998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19485.989999999998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f>4017.49+200.82</f>
        <v>4218.3099999999995</v>
      </c>
      <c r="I531" s="18">
        <f>268.8</f>
        <v>268.8</v>
      </c>
      <c r="J531" s="18"/>
      <c r="K531" s="18">
        <f>125</f>
        <v>125</v>
      </c>
      <c r="L531" s="88">
        <f>SUM(F531:K531)</f>
        <v>4612.1099999999997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4218.3099999999995</v>
      </c>
      <c r="I534" s="89">
        <f t="shared" si="38"/>
        <v>268.8</v>
      </c>
      <c r="J534" s="89">
        <f t="shared" si="38"/>
        <v>0</v>
      </c>
      <c r="K534" s="89">
        <f t="shared" si="38"/>
        <v>125</v>
      </c>
      <c r="L534" s="89">
        <f t="shared" si="38"/>
        <v>4612.1099999999997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2000</v>
      </c>
      <c r="G545" s="89">
        <f t="shared" ref="G545:L545" si="41">G524+G529+G534+G539+G544</f>
        <v>500.78999999999996</v>
      </c>
      <c r="H545" s="89">
        <f t="shared" si="41"/>
        <v>23704.299999999996</v>
      </c>
      <c r="I545" s="89">
        <f t="shared" si="41"/>
        <v>268.8</v>
      </c>
      <c r="J545" s="89">
        <f t="shared" si="41"/>
        <v>0</v>
      </c>
      <c r="K545" s="89">
        <f t="shared" si="41"/>
        <v>125</v>
      </c>
      <c r="L545" s="89">
        <f t="shared" si="41"/>
        <v>26598.89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2500.79</v>
      </c>
      <c r="G549" s="87">
        <f>L526</f>
        <v>14310.99</v>
      </c>
      <c r="H549" s="87">
        <f>L531</f>
        <v>4612.1099999999997</v>
      </c>
      <c r="I549" s="87">
        <f>L536</f>
        <v>0</v>
      </c>
      <c r="J549" s="87">
        <f>L541</f>
        <v>0</v>
      </c>
      <c r="K549" s="87">
        <f>SUM(F549:J549)</f>
        <v>21423.89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5175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5175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2500.79</v>
      </c>
      <c r="G552" s="89">
        <f t="shared" si="42"/>
        <v>19485.989999999998</v>
      </c>
      <c r="H552" s="89">
        <f t="shared" si="42"/>
        <v>4612.1099999999997</v>
      </c>
      <c r="I552" s="89">
        <f t="shared" si="42"/>
        <v>0</v>
      </c>
      <c r="J552" s="89">
        <f t="shared" si="42"/>
        <v>0</v>
      </c>
      <c r="K552" s="89">
        <f t="shared" si="42"/>
        <v>26598.89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f>57894.78+194240.39</f>
        <v>252135.17</v>
      </c>
      <c r="I575" s="87">
        <f>SUM(F575:H575)</f>
        <v>252135.17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24855.1</v>
      </c>
      <c r="I591" s="18"/>
      <c r="J591" s="18">
        <v>22475.1</v>
      </c>
      <c r="K591" s="104">
        <f t="shared" ref="K591:K597" si="48">SUM(H591:J591)</f>
        <v>47330.2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1000</v>
      </c>
      <c r="I595" s="18"/>
      <c r="J595" s="18"/>
      <c r="K595" s="104">
        <f t="shared" si="48"/>
        <v>1000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25855.1</v>
      </c>
      <c r="I598" s="108">
        <f>SUM(I591:I597)</f>
        <v>0</v>
      </c>
      <c r="J598" s="108">
        <f>SUM(J591:J597)</f>
        <v>22475.1</v>
      </c>
      <c r="K598" s="108">
        <f>SUM(K591:K597)</f>
        <v>48330.2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6818.31</v>
      </c>
      <c r="I604" s="18"/>
      <c r="J604" s="18"/>
      <c r="K604" s="104">
        <f>SUM(H604:J604)</f>
        <v>6818.31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6818.31</v>
      </c>
      <c r="I605" s="108">
        <f>SUM(I602:I604)</f>
        <v>0</v>
      </c>
      <c r="J605" s="108">
        <f>SUM(J602:J604)</f>
        <v>0</v>
      </c>
      <c r="K605" s="108">
        <f>SUM(K602:K604)</f>
        <v>6818.31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3630</v>
      </c>
      <c r="G611" s="18">
        <f>277.7+514.01</f>
        <v>791.71</v>
      </c>
      <c r="H611" s="18"/>
      <c r="I611" s="18"/>
      <c r="J611" s="18"/>
      <c r="K611" s="18"/>
      <c r="L611" s="88">
        <f>SUM(F611:K611)</f>
        <v>4421.71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3630</v>
      </c>
      <c r="G614" s="108">
        <f t="shared" si="49"/>
        <v>791.71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4421.71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56084.08</v>
      </c>
      <c r="H617" s="109">
        <f>SUM(F52)</f>
        <v>56084.08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760.19</v>
      </c>
      <c r="H618" s="109">
        <f>SUM(G52)</f>
        <v>760.19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5733.12</v>
      </c>
      <c r="H619" s="109">
        <f>SUM(H52)</f>
        <v>5733.12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212480.48</v>
      </c>
      <c r="H621" s="109">
        <f>SUM(J52)</f>
        <v>212480.48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56084.08</v>
      </c>
      <c r="H622" s="109">
        <f>F476</f>
        <v>56084.079999999958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212480.48</v>
      </c>
      <c r="H626" s="109">
        <f>J476</f>
        <v>212480.47999999998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859374.97000000009</v>
      </c>
      <c r="H627" s="104">
        <f>SUM(F468)</f>
        <v>859374.97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24971.11</v>
      </c>
      <c r="H628" s="104">
        <f>SUM(G468)</f>
        <v>24971.11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35930.990000000005</v>
      </c>
      <c r="H629" s="104">
        <f>SUM(H468)</f>
        <v>35930.99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52285.2</v>
      </c>
      <c r="H631" s="104">
        <f>SUM(J468)</f>
        <v>52285.2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839510.07000000018</v>
      </c>
      <c r="H632" s="104">
        <f>SUM(F472)</f>
        <v>839510.07000000007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35930.990000000005</v>
      </c>
      <c r="H633" s="104">
        <f>SUM(H472)</f>
        <v>35930.99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24971.11</v>
      </c>
      <c r="H635" s="104">
        <f>SUM(G472)</f>
        <v>24971.11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52285.2</v>
      </c>
      <c r="H637" s="164">
        <f>SUM(J468)</f>
        <v>52285.2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212480.48</v>
      </c>
      <c r="H640" s="104">
        <f>SUM(G461)</f>
        <v>212480.48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212480.48</v>
      </c>
      <c r="H642" s="104">
        <f>SUM(I461)</f>
        <v>212480.48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2285.1999999999998</v>
      </c>
      <c r="H644" s="104">
        <f>H408</f>
        <v>2285.1999999999998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52285.2</v>
      </c>
      <c r="H646" s="104">
        <f>L408</f>
        <v>52285.2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48330.2</v>
      </c>
      <c r="H647" s="104">
        <f>L208+L226+L244</f>
        <v>48330.2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6818.31</v>
      </c>
      <c r="H648" s="104">
        <f>(J257+J338)-(J255+J336)</f>
        <v>6818.31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25855.1</v>
      </c>
      <c r="H649" s="104">
        <f>H598</f>
        <v>25855.1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22475.1</v>
      </c>
      <c r="H651" s="104">
        <f>J598</f>
        <v>22475.1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5168.92</v>
      </c>
      <c r="H652" s="104">
        <f>K263+K345</f>
        <v>5168.92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515679.67</v>
      </c>
      <c r="G660" s="19">
        <f>(L229+L309+L359)</f>
        <v>0</v>
      </c>
      <c r="H660" s="19">
        <f>(L247+L328+L360)</f>
        <v>326541.27</v>
      </c>
      <c r="I660" s="19">
        <f>SUM(F660:H660)</f>
        <v>842220.94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6840.61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6840.61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25855.1</v>
      </c>
      <c r="G662" s="19">
        <f>(L226+L306)-(J226+J306)</f>
        <v>0</v>
      </c>
      <c r="H662" s="19">
        <f>(L244+L325)-(J244+J325)</f>
        <v>22475.1</v>
      </c>
      <c r="I662" s="19">
        <f>SUM(F662:H662)</f>
        <v>48330.2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11240.02</v>
      </c>
      <c r="G663" s="199">
        <f>SUM(G575:G587)+SUM(I602:I604)+L612</f>
        <v>0</v>
      </c>
      <c r="H663" s="199">
        <f>SUM(H575:H587)+SUM(J602:J604)+L613</f>
        <v>252135.17</v>
      </c>
      <c r="I663" s="19">
        <f>SUM(F663:H663)</f>
        <v>263375.19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471743.94</v>
      </c>
      <c r="G664" s="19">
        <f>G660-SUM(G661:G663)</f>
        <v>0</v>
      </c>
      <c r="H664" s="19">
        <f>H660-SUM(H661:H663)</f>
        <v>51931</v>
      </c>
      <c r="I664" s="19">
        <f>I660-SUM(I661:I663)</f>
        <v>523674.93999999994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29.19</v>
      </c>
      <c r="G665" s="248"/>
      <c r="H665" s="248"/>
      <c r="I665" s="19">
        <f>SUM(F665:H665)</f>
        <v>29.19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16161.15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17940.22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-51931</v>
      </c>
      <c r="I669" s="19">
        <f>SUM(F669:H669)</f>
        <v>-51931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16161.15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16161.15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STARK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166844.58000000002</v>
      </c>
      <c r="C9" s="229">
        <f>'DOE25'!G197+'DOE25'!G215+'DOE25'!G233+'DOE25'!G276+'DOE25'!G295+'DOE25'!G314</f>
        <v>58705.229999999996</v>
      </c>
    </row>
    <row r="10" spans="1:3" x14ac:dyDescent="0.2">
      <c r="A10" t="s">
        <v>779</v>
      </c>
      <c r="B10" s="240">
        <f>139199.47+6000</f>
        <v>145199.47</v>
      </c>
      <c r="C10" s="240">
        <f>23616.64+661.35+11252.78+18392.93+1852.92-186.74</f>
        <v>55589.88</v>
      </c>
    </row>
    <row r="11" spans="1:3" x14ac:dyDescent="0.2">
      <c r="A11" t="s">
        <v>780</v>
      </c>
      <c r="B11" s="240">
        <f>2441.75+19203.36</f>
        <v>21645.11</v>
      </c>
      <c r="C11" s="240">
        <f>555.39+21.72+1466.48+885.02+186.74</f>
        <v>3115.3500000000004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166844.58000000002</v>
      </c>
      <c r="C13" s="231">
        <f>SUM(C10:C12)</f>
        <v>58705.229999999996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2000</v>
      </c>
      <c r="C18" s="229">
        <f>'DOE25'!G198+'DOE25'!G216+'DOE25'!G234+'DOE25'!G277+'DOE25'!G296+'DOE25'!G315</f>
        <v>500.78999999999996</v>
      </c>
    </row>
    <row r="19" spans="1:3" x14ac:dyDescent="0.2">
      <c r="A19" t="s">
        <v>779</v>
      </c>
      <c r="B19" s="240">
        <v>2000</v>
      </c>
      <c r="C19" s="240">
        <v>500.79</v>
      </c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2000</v>
      </c>
      <c r="C22" s="231">
        <f>SUM(C19:C21)</f>
        <v>500.79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6255</v>
      </c>
      <c r="C36" s="235">
        <f>'DOE25'!G200+'DOE25'!G218+'DOE25'!G236+'DOE25'!G279+'DOE25'!G298+'DOE25'!G317</f>
        <v>1026.48</v>
      </c>
    </row>
    <row r="37" spans="1:3" x14ac:dyDescent="0.2">
      <c r="A37" t="s">
        <v>779</v>
      </c>
      <c r="B37" s="240">
        <v>6255</v>
      </c>
      <c r="C37" s="240">
        <v>1026.48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6255</v>
      </c>
      <c r="C40" s="231">
        <f>SUM(C37:C39)</f>
        <v>1026.48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STARK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506292.39</v>
      </c>
      <c r="D5" s="20">
        <f>SUM('DOE25'!L197:L200)+SUM('DOE25'!L215:L218)+SUM('DOE25'!L233:L236)-F5-G5</f>
        <v>503792.39</v>
      </c>
      <c r="E5" s="243"/>
      <c r="F5" s="255">
        <f>SUM('DOE25'!J197:J200)+SUM('DOE25'!J215:J218)+SUM('DOE25'!J233:J236)</f>
        <v>2500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8610.42</v>
      </c>
      <c r="D6" s="20">
        <f>'DOE25'!L202+'DOE25'!L220+'DOE25'!L238-F6-G6</f>
        <v>8610.42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7011.4500000000007</v>
      </c>
      <c r="D7" s="20">
        <f>'DOE25'!L203+'DOE25'!L221+'DOE25'!L239-F7-G7</f>
        <v>7011.4500000000007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45968.37999999999</v>
      </c>
      <c r="D8" s="243"/>
      <c r="E8" s="20">
        <f>'DOE25'!L204+'DOE25'!L222+'DOE25'!L240-F8-G8-D9-D11</f>
        <v>43811.969999999994</v>
      </c>
      <c r="F8" s="255">
        <f>'DOE25'!J204+'DOE25'!J222+'DOE25'!J240</f>
        <v>0</v>
      </c>
      <c r="G8" s="53">
        <f>'DOE25'!K204+'DOE25'!K222+'DOE25'!K240</f>
        <v>2156.41</v>
      </c>
      <c r="H8" s="259"/>
    </row>
    <row r="9" spans="1:9" x14ac:dyDescent="0.2">
      <c r="A9" s="32">
        <v>2310</v>
      </c>
      <c r="B9" t="s">
        <v>818</v>
      </c>
      <c r="C9" s="245">
        <f t="shared" si="0"/>
        <v>19456.240000000002</v>
      </c>
      <c r="D9" s="244">
        <v>19456.240000000002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7750</v>
      </c>
      <c r="D10" s="243"/>
      <c r="E10" s="244">
        <v>7750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45900.02</v>
      </c>
      <c r="D11" s="244">
        <v>45900.02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39027.199999999997</v>
      </c>
      <c r="D12" s="20">
        <f>'DOE25'!L205+'DOE25'!L223+'DOE25'!L241-F12-G12</f>
        <v>37066.229999999996</v>
      </c>
      <c r="E12" s="243"/>
      <c r="F12" s="255">
        <f>'DOE25'!J205+'DOE25'!J223+'DOE25'!J241</f>
        <v>332.98</v>
      </c>
      <c r="G12" s="53">
        <f>'DOE25'!K205+'DOE25'!K223+'DOE25'!K241</f>
        <v>1627.99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60722.539999999994</v>
      </c>
      <c r="D14" s="20">
        <f>'DOE25'!L207+'DOE25'!L225+'DOE25'!L243-F14-G14</f>
        <v>60322.549999999996</v>
      </c>
      <c r="E14" s="243"/>
      <c r="F14" s="255">
        <f>'DOE25'!J207+'DOE25'!J225+'DOE25'!J243</f>
        <v>399.99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48330.2</v>
      </c>
      <c r="D15" s="20">
        <f>'DOE25'!L208+'DOE25'!L226+'DOE25'!L244-F15-G15</f>
        <v>48330.2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3022.31</v>
      </c>
      <c r="D22" s="243"/>
      <c r="E22" s="243"/>
      <c r="F22" s="255">
        <f>'DOE25'!L255+'DOE25'!L336</f>
        <v>3022.31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24971.11</v>
      </c>
      <c r="D29" s="20">
        <f>'DOE25'!L358+'DOE25'!L359+'DOE25'!L360-'DOE25'!I367-F29-G29</f>
        <v>24971.11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35930.990000000005</v>
      </c>
      <c r="D31" s="20">
        <f>'DOE25'!L290+'DOE25'!L309+'DOE25'!L328+'DOE25'!L333+'DOE25'!L334+'DOE25'!L335-F31-G31</f>
        <v>32345.650000000005</v>
      </c>
      <c r="E31" s="243"/>
      <c r="F31" s="255">
        <f>'DOE25'!J290+'DOE25'!J309+'DOE25'!J328+'DOE25'!J333+'DOE25'!J334+'DOE25'!J335</f>
        <v>3585.34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787806.26</v>
      </c>
      <c r="E33" s="246">
        <f>SUM(E5:E31)</f>
        <v>51561.969999999994</v>
      </c>
      <c r="F33" s="246">
        <f>SUM(F5:F31)</f>
        <v>9840.6200000000008</v>
      </c>
      <c r="G33" s="246">
        <f>SUM(G5:G31)</f>
        <v>3784.3999999999996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51561.969999999994</v>
      </c>
      <c r="E35" s="249"/>
    </row>
    <row r="36" spans="2:8" ht="12" thickTop="1" x14ac:dyDescent="0.2">
      <c r="B36" t="s">
        <v>815</v>
      </c>
      <c r="D36" s="20">
        <f>D33</f>
        <v>787806.26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27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STARK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39984.57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212480.48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9606.2000000000007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6493.3099999999995</v>
      </c>
      <c r="D13" s="95">
        <f>'DOE25'!G14</f>
        <v>760.19</v>
      </c>
      <c r="E13" s="95">
        <f>'DOE25'!H14</f>
        <v>5733.12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56084.08</v>
      </c>
      <c r="D18" s="41">
        <f>SUM(D8:D17)</f>
        <v>760.19</v>
      </c>
      <c r="E18" s="41">
        <f>SUM(E8:E17)</f>
        <v>5733.12</v>
      </c>
      <c r="F18" s="41">
        <f>SUM(F8:F17)</f>
        <v>0</v>
      </c>
      <c r="G18" s="41">
        <f>SUM(G8:G17)</f>
        <v>212480.48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760.19</v>
      </c>
      <c r="E21" s="95">
        <f>'DOE25'!H22</f>
        <v>5733.12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760.19</v>
      </c>
      <c r="E31" s="41">
        <f>SUM(E21:E30)</f>
        <v>5733.12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212480.48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40000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12888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3196.08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56084.08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212480.48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56084.08</v>
      </c>
      <c r="D51" s="41">
        <f>D50+D31</f>
        <v>760.19</v>
      </c>
      <c r="E51" s="41">
        <f>E50+E31</f>
        <v>5733.12</v>
      </c>
      <c r="F51" s="41">
        <f>F50+F31</f>
        <v>0</v>
      </c>
      <c r="G51" s="41">
        <f>G50+G31</f>
        <v>212480.48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384291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133.18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2285.1999999999998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6840.61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494.36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627.54</v>
      </c>
      <c r="D62" s="130">
        <f>SUM(D57:D61)</f>
        <v>6840.61</v>
      </c>
      <c r="E62" s="130">
        <f>SUM(E57:E61)</f>
        <v>0</v>
      </c>
      <c r="F62" s="130">
        <f>SUM(F57:F61)</f>
        <v>0</v>
      </c>
      <c r="G62" s="130">
        <f>SUM(G57:G61)</f>
        <v>2285.1999999999998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384918.54</v>
      </c>
      <c r="D63" s="22">
        <f>D56+D62</f>
        <v>6840.61</v>
      </c>
      <c r="E63" s="22">
        <f>E56+E62</f>
        <v>0</v>
      </c>
      <c r="F63" s="22">
        <f>F56+F62</f>
        <v>0</v>
      </c>
      <c r="G63" s="22">
        <f>G56+G62</f>
        <v>2285.1999999999998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286876.02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131240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418116.02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214.3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214.3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418116.02</v>
      </c>
      <c r="D81" s="130">
        <f>SUM(D79:D80)+D78+D70</f>
        <v>214.3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15701.65</v>
      </c>
      <c r="D88" s="95">
        <f>SUM('DOE25'!G153:G161)</f>
        <v>12747.28</v>
      </c>
      <c r="E88" s="95">
        <f>SUM('DOE25'!H153:H161)</f>
        <v>35930.990000000005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15638.76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31340.41</v>
      </c>
      <c r="D91" s="131">
        <f>SUM(D85:D90)</f>
        <v>12747.28</v>
      </c>
      <c r="E91" s="131">
        <f>SUM(E85:E90)</f>
        <v>35930.990000000005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5168.92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25000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25000</v>
      </c>
      <c r="D103" s="86">
        <f>SUM(D93:D102)</f>
        <v>5168.92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859374.97000000009</v>
      </c>
      <c r="D104" s="86">
        <f>D63+D81+D91+D103</f>
        <v>24971.11</v>
      </c>
      <c r="E104" s="86">
        <f>E63+E81+E91+E103</f>
        <v>35930.990000000005</v>
      </c>
      <c r="F104" s="86">
        <f>F63+F81+F91+F103</f>
        <v>0</v>
      </c>
      <c r="G104" s="86">
        <f>G63+G81+G103</f>
        <v>52285.2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476339.80000000005</v>
      </c>
      <c r="D109" s="24" t="s">
        <v>289</v>
      </c>
      <c r="E109" s="95">
        <f>('DOE25'!L276)+('DOE25'!L295)+('DOE25'!L314)</f>
        <v>34930.990000000005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21986.78</v>
      </c>
      <c r="D110" s="24" t="s">
        <v>289</v>
      </c>
      <c r="E110" s="95">
        <f>('DOE25'!L277)+('DOE25'!L296)+('DOE25'!L315)</f>
        <v>1000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7965.8099999999995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506292.39000000007</v>
      </c>
      <c r="D115" s="86">
        <f>SUM(D109:D114)</f>
        <v>0</v>
      </c>
      <c r="E115" s="86">
        <f>SUM(E109:E114)</f>
        <v>35930.990000000005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8610.42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7011.4500000000007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111324.64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39027.199999999997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60722.539999999994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48330.2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24971.11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275026.45</v>
      </c>
      <c r="D128" s="86">
        <f>SUM(D118:D127)</f>
        <v>24971.11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3022.31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5168.92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52285.2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-2285.1999999999971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58191.229999999996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839510.07000000007</v>
      </c>
      <c r="D145" s="86">
        <f>(D115+D128+D144)</f>
        <v>24971.11</v>
      </c>
      <c r="E145" s="86">
        <f>(E115+E128+E144)</f>
        <v>35930.990000000005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A54" sqref="A5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STARK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16161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16161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511271</v>
      </c>
      <c r="D10" s="182">
        <f>ROUND((C10/$C$28)*100,1)</f>
        <v>61.2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22987</v>
      </c>
      <c r="D11" s="182">
        <f>ROUND((C11/$C$28)*100,1)</f>
        <v>2.8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7966</v>
      </c>
      <c r="D13" s="182">
        <f>ROUND((C13/$C$28)*100,1)</f>
        <v>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8610</v>
      </c>
      <c r="D15" s="182">
        <f t="shared" ref="D15:D27" si="0">ROUND((C15/$C$28)*100,1)</f>
        <v>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7011</v>
      </c>
      <c r="D16" s="182">
        <f t="shared" si="0"/>
        <v>0.8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111325</v>
      </c>
      <c r="D17" s="182">
        <f t="shared" si="0"/>
        <v>13.3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39027</v>
      </c>
      <c r="D18" s="182">
        <f t="shared" si="0"/>
        <v>4.7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60723</v>
      </c>
      <c r="D20" s="182">
        <f t="shared" si="0"/>
        <v>7.3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48330</v>
      </c>
      <c r="D21" s="182">
        <f t="shared" si="0"/>
        <v>5.8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18130.39</v>
      </c>
      <c r="D27" s="182">
        <f t="shared" si="0"/>
        <v>2.2000000000000002</v>
      </c>
    </row>
    <row r="28" spans="1:4" x14ac:dyDescent="0.2">
      <c r="B28" s="187" t="s">
        <v>723</v>
      </c>
      <c r="C28" s="180">
        <f>SUM(C10:C27)</f>
        <v>835380.39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3022</v>
      </c>
    </row>
    <row r="30" spans="1:4" x14ac:dyDescent="0.2">
      <c r="B30" s="187" t="s">
        <v>729</v>
      </c>
      <c r="C30" s="180">
        <f>SUM(C28:C29)</f>
        <v>838402.39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384291</v>
      </c>
      <c r="D35" s="182">
        <f t="shared" ref="D35:D40" si="1">ROUND((C35/$C$41)*100,1)</f>
        <v>43.4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2912.7399999999907</v>
      </c>
      <c r="D36" s="182">
        <f t="shared" si="1"/>
        <v>0.3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418116</v>
      </c>
      <c r="D37" s="182">
        <f t="shared" si="1"/>
        <v>47.2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214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80019</v>
      </c>
      <c r="D39" s="182">
        <f t="shared" si="1"/>
        <v>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885552.74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STARK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2014-08-04T15:19:31Z</cp:lastPrinted>
  <dcterms:created xsi:type="dcterms:W3CDTF">1997-12-04T19:04:30Z</dcterms:created>
  <dcterms:modified xsi:type="dcterms:W3CDTF">2014-08-05T12:56:47Z</dcterms:modified>
</cp:coreProperties>
</file>