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885" yWindow="255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B12" i="12"/>
  <c r="B11" i="12"/>
  <c r="C19" i="12"/>
  <c r="B20" i="12"/>
  <c r="B19" i="12"/>
  <c r="B10" i="12"/>
  <c r="B38" i="12"/>
  <c r="B37" i="12"/>
  <c r="C37" i="12"/>
  <c r="G198" i="1"/>
  <c r="H234" i="1"/>
  <c r="G439" i="1"/>
  <c r="H526" i="1"/>
  <c r="H533" i="1"/>
  <c r="H531" i="1"/>
  <c r="H523" i="1" l="1"/>
  <c r="I526" i="1"/>
  <c r="G526" i="1"/>
  <c r="F526" i="1"/>
  <c r="G521" i="1"/>
  <c r="F521" i="1"/>
  <c r="F502" i="1" l="1"/>
  <c r="G502" i="1"/>
  <c r="G499" i="1"/>
  <c r="F499" i="1"/>
  <c r="H358" i="1" l="1"/>
  <c r="J276" i="1"/>
  <c r="F276" i="1"/>
  <c r="K282" i="1"/>
  <c r="H282" i="1"/>
  <c r="G282" i="1"/>
  <c r="F282" i="1"/>
  <c r="I276" i="1"/>
  <c r="K285" i="1"/>
  <c r="G283" i="1"/>
  <c r="F283" i="1"/>
  <c r="G276" i="1"/>
  <c r="G279" i="1"/>
  <c r="F279" i="1"/>
  <c r="I277" i="1"/>
  <c r="G277" i="1"/>
  <c r="H244" i="1"/>
  <c r="I244" i="1"/>
  <c r="F244" i="1"/>
  <c r="I208" i="1"/>
  <c r="G208" i="1"/>
  <c r="F208" i="1"/>
  <c r="H208" i="1"/>
  <c r="J207" i="1"/>
  <c r="I207" i="1"/>
  <c r="H207" i="1"/>
  <c r="G207" i="1"/>
  <c r="G205" i="1"/>
  <c r="I205" i="1"/>
  <c r="H205" i="1"/>
  <c r="F205" i="1"/>
  <c r="G204" i="1"/>
  <c r="F204" i="1"/>
  <c r="I203" i="1"/>
  <c r="F203" i="1"/>
  <c r="K203" i="1"/>
  <c r="I202" i="1"/>
  <c r="H202" i="1"/>
  <c r="G202" i="1"/>
  <c r="F202" i="1"/>
  <c r="F198" i="1"/>
  <c r="H197" i="1"/>
  <c r="I197" i="1"/>
  <c r="G197" i="1"/>
  <c r="F197" i="1"/>
  <c r="H110" i="1"/>
  <c r="H155" i="1"/>
  <c r="H154" i="1"/>
  <c r="F110" i="1"/>
  <c r="F57" i="1"/>
  <c r="H398" i="1" l="1"/>
  <c r="H396" i="1"/>
  <c r="H400" i="1"/>
  <c r="H22" i="1"/>
  <c r="G48" i="1"/>
  <c r="G24" i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E119" i="2" s="1"/>
  <c r="L283" i="1"/>
  <c r="E120" i="2" s="1"/>
  <c r="L284" i="1"/>
  <c r="L285" i="1"/>
  <c r="E122" i="2" s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L229" i="1"/>
  <c r="F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C113" i="2"/>
  <c r="E113" i="2"/>
  <c r="C114" i="2"/>
  <c r="E114" i="2"/>
  <c r="D115" i="2"/>
  <c r="F115" i="2"/>
  <c r="G115" i="2"/>
  <c r="E118" i="2"/>
  <c r="C119" i="2"/>
  <c r="E121" i="2"/>
  <c r="C122" i="2"/>
  <c r="E123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H641" i="1"/>
  <c r="G642" i="1"/>
  <c r="G643" i="1"/>
  <c r="H643" i="1"/>
  <c r="G644" i="1"/>
  <c r="G649" i="1"/>
  <c r="G650" i="1"/>
  <c r="G652" i="1"/>
  <c r="H652" i="1"/>
  <c r="G653" i="1"/>
  <c r="H653" i="1"/>
  <c r="G654" i="1"/>
  <c r="H654" i="1"/>
  <c r="H655" i="1"/>
  <c r="J655" i="1" s="1"/>
  <c r="F192" i="1"/>
  <c r="L256" i="1"/>
  <c r="C26" i="10"/>
  <c r="L328" i="1"/>
  <c r="L351" i="1"/>
  <c r="A31" i="12"/>
  <c r="C70" i="2"/>
  <c r="A40" i="12"/>
  <c r="D18" i="13"/>
  <c r="C18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56" i="2"/>
  <c r="E103" i="2"/>
  <c r="D91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D81" i="2"/>
  <c r="I169" i="1"/>
  <c r="H169" i="1"/>
  <c r="G552" i="1"/>
  <c r="J643" i="1"/>
  <c r="I476" i="1"/>
  <c r="H625" i="1" s="1"/>
  <c r="J625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393" i="1"/>
  <c r="C138" i="2" s="1"/>
  <c r="F22" i="13"/>
  <c r="H25" i="13"/>
  <c r="C25" i="13" s="1"/>
  <c r="H571" i="1"/>
  <c r="L560" i="1"/>
  <c r="J545" i="1"/>
  <c r="G192" i="1"/>
  <c r="H192" i="1"/>
  <c r="C35" i="10"/>
  <c r="L309" i="1"/>
  <c r="E16" i="13"/>
  <c r="L570" i="1"/>
  <c r="I571" i="1"/>
  <c r="J636" i="1"/>
  <c r="G36" i="2"/>
  <c r="L565" i="1"/>
  <c r="K551" i="1"/>
  <c r="C22" i="13"/>
  <c r="C16" i="13"/>
  <c r="A13" i="12" l="1"/>
  <c r="G645" i="1"/>
  <c r="K598" i="1"/>
  <c r="G647" i="1" s="1"/>
  <c r="J647" i="1" s="1"/>
  <c r="J649" i="1"/>
  <c r="F552" i="1"/>
  <c r="H545" i="1"/>
  <c r="I545" i="1"/>
  <c r="G545" i="1"/>
  <c r="L545" i="1"/>
  <c r="K552" i="1"/>
  <c r="G164" i="2"/>
  <c r="K503" i="1"/>
  <c r="K500" i="1"/>
  <c r="H476" i="1"/>
  <c r="H624" i="1" s="1"/>
  <c r="J624" i="1" s="1"/>
  <c r="G476" i="1"/>
  <c r="H623" i="1" s="1"/>
  <c r="F476" i="1"/>
  <c r="H622" i="1" s="1"/>
  <c r="J622" i="1" s="1"/>
  <c r="J476" i="1"/>
  <c r="H626" i="1" s="1"/>
  <c r="J634" i="1"/>
  <c r="D127" i="2"/>
  <c r="D128" i="2" s="1"/>
  <c r="D145" i="2" s="1"/>
  <c r="G661" i="1"/>
  <c r="I661" i="1" s="1"/>
  <c r="D29" i="13"/>
  <c r="C29" i="13" s="1"/>
  <c r="L362" i="1"/>
  <c r="J338" i="1"/>
  <c r="J352" i="1" s="1"/>
  <c r="C16" i="10"/>
  <c r="E124" i="2"/>
  <c r="E128" i="2" s="1"/>
  <c r="L290" i="1"/>
  <c r="L338" i="1" s="1"/>
  <c r="L352" i="1" s="1"/>
  <c r="G633" i="1" s="1"/>
  <c r="J633" i="1" s="1"/>
  <c r="E112" i="2"/>
  <c r="E115" i="2" s="1"/>
  <c r="C19" i="10"/>
  <c r="C11" i="10"/>
  <c r="C132" i="2"/>
  <c r="H33" i="13"/>
  <c r="I257" i="1"/>
  <c r="I271" i="1" s="1"/>
  <c r="G651" i="1"/>
  <c r="J651" i="1" s="1"/>
  <c r="C124" i="2"/>
  <c r="H662" i="1"/>
  <c r="I662" i="1" s="1"/>
  <c r="C21" i="10"/>
  <c r="D15" i="13"/>
  <c r="C15" i="13" s="1"/>
  <c r="C20" i="10"/>
  <c r="D12" i="13"/>
  <c r="C12" i="13" s="1"/>
  <c r="C121" i="2"/>
  <c r="E8" i="13"/>
  <c r="C8" i="13" s="1"/>
  <c r="K257" i="1"/>
  <c r="K271" i="1" s="1"/>
  <c r="G257" i="1"/>
  <c r="G271" i="1" s="1"/>
  <c r="F257" i="1"/>
  <c r="F271" i="1" s="1"/>
  <c r="C17" i="10"/>
  <c r="C120" i="2"/>
  <c r="C15" i="10"/>
  <c r="H257" i="1"/>
  <c r="H271" i="1" s="1"/>
  <c r="C118" i="2"/>
  <c r="L247" i="1"/>
  <c r="H660" i="1" s="1"/>
  <c r="C110" i="2"/>
  <c r="C10" i="10"/>
  <c r="C109" i="2"/>
  <c r="D5" i="13"/>
  <c r="C5" i="13" s="1"/>
  <c r="L211" i="1"/>
  <c r="C81" i="2"/>
  <c r="C104" i="2" s="1"/>
  <c r="C62" i="2"/>
  <c r="C63" i="2"/>
  <c r="J640" i="1"/>
  <c r="J639" i="1"/>
  <c r="G408" i="1"/>
  <c r="H645" i="1" s="1"/>
  <c r="L401" i="1"/>
  <c r="C139" i="2" s="1"/>
  <c r="H408" i="1"/>
  <c r="H644" i="1" s="1"/>
  <c r="J644" i="1" s="1"/>
  <c r="E31" i="2"/>
  <c r="H52" i="1"/>
  <c r="H619" i="1" s="1"/>
  <c r="J619" i="1" s="1"/>
  <c r="J623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E33" i="13" l="1"/>
  <c r="D35" i="13" s="1"/>
  <c r="C115" i="2"/>
  <c r="J645" i="1"/>
  <c r="G104" i="2"/>
  <c r="C141" i="2"/>
  <c r="C144" i="2" s="1"/>
  <c r="G664" i="1"/>
  <c r="G667" i="1" s="1"/>
  <c r="G672" i="1"/>
  <c r="C5" i="10" s="1"/>
  <c r="E145" i="2"/>
  <c r="D31" i="13"/>
  <c r="C31" i="13" s="1"/>
  <c r="H664" i="1"/>
  <c r="H667" i="1" s="1"/>
  <c r="C128" i="2"/>
  <c r="C145" i="2" s="1"/>
  <c r="L257" i="1"/>
  <c r="L271" i="1" s="1"/>
  <c r="G632" i="1" s="1"/>
  <c r="J632" i="1" s="1"/>
  <c r="C28" i="10"/>
  <c r="D16" i="10" s="1"/>
  <c r="F660" i="1"/>
  <c r="L408" i="1"/>
  <c r="G637" i="1" s="1"/>
  <c r="J637" i="1" s="1"/>
  <c r="H646" i="1"/>
  <c r="E51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D27" i="10"/>
  <c r="D20" i="10"/>
  <c r="D15" i="10"/>
  <c r="D22" i="10"/>
  <c r="D24" i="10"/>
  <c r="D17" i="10"/>
  <c r="D25" i="10"/>
  <c r="D11" i="10"/>
  <c r="D19" i="10"/>
  <c r="D10" i="10"/>
  <c r="C30" i="10"/>
  <c r="D23" i="10"/>
  <c r="D13" i="10"/>
  <c r="D21" i="10"/>
  <c r="D18" i="10"/>
  <c r="D12" i="10"/>
  <c r="D26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<sst xmlns="http://schemas.openxmlformats.org/spreadsheetml/2006/main" count="3960" uniqueCount="916">
  <si>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</si>
  <si>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</si>
  <si>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</si>
  <si>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</si>
  <si>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</si>
  <si>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</si>
  <si>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</si>
  <si>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</si>
  <si>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</si>
  <si>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</si>
  <si>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</si>
  <si>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</si>
  <si>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</si>
  <si>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</si>
  <si>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</si>
  <si>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</si>
  <si>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</si>
  <si>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</si>
  <si>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</si>
  <si>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</si>
  <si>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</si>
  <si>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</si>
  <si>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</si>
  <si>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</si>
  <si>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</si>
  <si>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</si>
  <si>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</si>
  <si>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</si>
  <si>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</si>
  <si>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</si>
  <si>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</si>
  <si>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</si>
  <si>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</si>
  <si>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</si>
  <si>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</si>
  <si>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</si>
  <si>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</si>
  <si>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</si>
  <si>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</si>
  <si>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</si>
  <si>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</si>
  <si>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</si>
  <si>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</si>
  <si>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</si>
  <si>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</si>
  <si>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</si>
  <si>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</si>
  <si>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</si>
  <si>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</si>
  <si>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</si>
  <si>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</si>
  <si>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</si>
  <si>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</si>
  <si>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</si>
  <si>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</si>
  <si>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</si>
  <si>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</si>
  <si>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</si>
  <si>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</si>
  <si>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</si>
  <si>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</si>
  <si>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</si>
  <si>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</si>
  <si>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</si>
  <si>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</si>
  <si>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</si>
  <si>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</si>
  <si>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</si>
  <si>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</si>
  <si>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</si>
  <si>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</si>
  <si>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</si>
  <si>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</si>
  <si>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</si>
  <si>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</si>
  <si>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</si>
  <si>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</si>
  <si>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</si>
  <si>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</si>
  <si>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</si>
  <si>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</si>
  <si>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</si>
  <si>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</si>
  <si>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</si>
  <si>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</si>
  <si>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</si>
  <si>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</si>
  <si>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</si>
  <si>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</si>
  <si>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</si>
  <si>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</si>
  <si>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</si>
  <si>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</si>
  <si>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</si>
  <si>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</si>
  <si>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</si>
  <si>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</si>
  <si>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</si>
  <si>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</si>
  <si>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</si>
  <si>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</si>
  <si>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</si>
  <si>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</si>
  <si>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</si>
  <si>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</si>
  <si>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</si>
  <si>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</si>
  <si>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</si>
  <si>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</si>
  <si>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</si>
  <si>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</si>
  <si>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</si>
  <si>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</si>
  <si>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</si>
  <si>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</si>
  <si>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</si>
  <si>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</si>
  <si>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</si>
  <si>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</si>
  <si>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</si>
  <si>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</si>
  <si>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</si>
  <si>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</si>
  <si>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</si>
  <si>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</si>
  <si>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</si>
  <si>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</si>
  <si>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</si>
  <si>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</si>
  <si>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</si>
  <si>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</si>
  <si>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</si>
  <si>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</si>
  <si>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</si>
  <si>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</si>
  <si>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</si>
  <si>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</si>
  <si>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</si>
  <si>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</si>
  <si>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</si>
  <si>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</si>
  <si>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</si>
  <si>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</si>
  <si>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</si>
  <si>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</si>
  <si>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</si>
  <si>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</si>
  <si>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</si>
  <si>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</si>
  <si>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</si>
  <si>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</si>
  <si>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</si>
  <si>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</si>
  <si>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</si>
  <si>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</si>
  <si>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</si>
  <si>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</si>
  <si>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</si>
  <si>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</si>
  <si>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</si>
  <si>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</si>
  <si>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</si>
  <si>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</si>
  <si>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</si>
  <si>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</si>
  <si>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</si>
  <si>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</si>
  <si>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</si>
  <si>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</si>
  <si>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</si>
  <si>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</si>
  <si>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</si>
  <si>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</si>
  <si>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</si>
  <si>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</si>
  <si>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</si>
  <si>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</si>
  <si>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</si>
  <si>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</si>
  <si>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</si>
  <si>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</si>
  <si>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</si>
  <si>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</si>
  <si>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</si>
  <si>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</si>
  <si>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</si>
  <si>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</si>
  <si>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</si>
  <si>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</si>
  <si>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</si>
  <si>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</si>
  <si>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</si>
  <si>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</si>
  <si>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</si>
  <si>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</si>
  <si>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</si>
  <si>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</si>
  <si>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</si>
  <si>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</si>
  <si>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</si>
  <si>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</si>
  <si>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</si>
  <si>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</si>
  <si>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</si>
  <si>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</si>
  <si>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</si>
  <si>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</si>
  <si>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</si>
  <si>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</si>
  <si>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</si>
  <si>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</si>
  <si>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</si>
  <si>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</si>
  <si>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</si>
  <si>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</si>
  <si>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</si>
  <si>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</si>
  <si>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</si>
  <si>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</si>
  <si>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</si>
  <si>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</si>
  <si>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</si>
  <si>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</si>
  <si>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</si>
  <si>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</si>
  <si>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</si>
  <si>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</si>
  <si>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</si>
  <si>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</si>
  <si>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</si>
  <si>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</si>
  <si>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</si>
  <si>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</si>
  <si>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</si>
  <si>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</si>
  <si>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</si>
  <si>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</si>
  <si>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</si>
  <si>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</si>
  <si>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</si>
  <si>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</si>
  <si>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</si>
  <si>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</si>
  <si>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</si>
  <si>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</si>
  <si>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</si>
  <si>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</si>
  <si>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</si>
  <si>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</si>
  <si>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</si>
  <si>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</si>
  <si>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</si>
  <si>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</si>
  <si>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</si>
  <si>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</si>
  <si>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</si>
  <si>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</si>
  <si>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</si>
  <si>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</si>
  <si>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</si>
  <si>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</si>
  <si>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</si>
  <si>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</si>
  <si>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</si>
  <si>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</si>
  <si>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</si>
  <si>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</si>
  <si>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</si>
  <si>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</si>
  <si>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</si>
  <si>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</si>
  <si>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</si>
  <si>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</si>
  <si>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</si>
  <si>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</si>
  <si>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</si>
  <si>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</si>
  <si>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</si>
  <si>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</si>
  <si>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</si>
  <si>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</si>
  <si>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</si>
  <si>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</si>
  <si>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</si>
  <si>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</si>
  <si>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</si>
  <si>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</si>
  <si>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</si>
  <si>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</si>
  <si>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</si>
  <si>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</si>
  <si>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</si>
  <si>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</si>
  <si>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</si>
  <si>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</si>
  <si>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</si>
  <si>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</si>
  <si>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</si>
  <si>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</si>
  <si>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</si>
  <si>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</si>
  <si>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</si>
  <si>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</si>
  <si>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</si>
  <si>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</si>
  <si>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</si>
  <si>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</si>
  <si>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</si>
  <si>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</si>
  <si>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</si>
  <si>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</si>
  <si>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</si>
  <si>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</si>
  <si>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</si>
  <si>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</si>
  <si>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</si>
  <si>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</si>
  <si>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</si>
  <si>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</si>
  <si>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</si>
  <si>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</si>
  <si>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</si>
  <si>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</si>
  <si>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</si>
  <si>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</si>
  <si>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</si>
  <si>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</si>
  <si>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</si>
  <si>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</si>
  <si>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</si>
  <si>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</si>
  <si>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</si>
  <si>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</si>
  <si>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</si>
  <si>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</si>
  <si>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</si>
  <si>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</si>
  <si>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</si>
  <si>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</si>
  <si>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</si>
  <si>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</si>
  <si>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</si>
  <si>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</si>
  <si>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</si>
  <si>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</si>
  <si>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</si>
  <si>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</si>
  <si>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</si>
  <si>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</si>
  <si>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</si>
  <si>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</si>
  <si>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</si>
  <si>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</si>
  <si>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</si>
  <si>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</si>
  <si>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</si>
  <si>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</si>
  <si>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</si>
  <si>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</si>
  <si>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</si>
  <si>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</si>
  <si>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</si>
  <si>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</si>
  <si>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</si>
  <si>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</si>
  <si>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</si>
  <si>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</si>
  <si>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</si>
  <si>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</si>
  <si>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</si>
  <si>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</si>
  <si>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</si>
  <si>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</si>
  <si>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</si>
  <si>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</si>
  <si>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</si>
  <si>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</si>
  <si>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</si>
  <si>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</si>
  <si>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</si>
  <si>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</si>
  <si>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</si>
  <si>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</si>
  <si>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</si>
  <si>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</si>
  <si>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</si>
  <si>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</si>
  <si>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</si>
  <si>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</si>
  <si>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</si>
  <si>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</si>
  <si>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</si>
  <si>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</si>
  <si>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</si>
  <si>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</si>
  <si>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</si>
  <si>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</si>
  <si>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</si>
  <si>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</si>
  <si>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</si>
  <si>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</si>
  <si>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</si>
  <si>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</si>
  <si>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</si>
  <si>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</si>
  <si>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</si>
  <si>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</si>
  <si>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</si>
  <si>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</si>
  <si>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</si>
  <si>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</si>
  <si>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</si>
  <si>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</si>
  <si>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</si>
  <si>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</si>
  <si>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</si>
  <si>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</si>
  <si>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</si>
  <si>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</si>
  <si>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</si>
  <si>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</si>
  <si>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</si>
  <si>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</si>
  <si>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</si>
  <si>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</si>
  <si>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</si>
  <si>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</si>
  <si>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</si>
  <si>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</si>
  <si>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</si>
  <si>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</si>
  <si>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</si>
  <si>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</si>
  <si>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</si>
  <si>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</si>
  <si>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</si>
  <si>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</si>
  <si>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</si>
  <si>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</si>
  <si>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</si>
  <si>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</si>
  <si>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</si>
  <si>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</si>
  <si>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</si>
  <si>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</si>
  <si>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</si>
  <si>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</si>
  <si>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</si>
  <si>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</si>
  <si>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</si>
  <si>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</si>
  <si>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</si>
  <si>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</si>
  <si>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</si>
  <si>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</si>
  <si>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</si>
  <si>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</si>
  <si>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</si>
  <si>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</si>
  <si>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</si>
  <si>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</si>
  <si>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</si>
  <si>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</si>
  <si>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</si>
  <si>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</si>
  <si>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</si>
  <si>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</si>
  <si>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</si>
  <si>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</si>
  <si>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</si>
  <si>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</si>
  <si>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</si>
  <si>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</si>
  <si>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</si>
  <si>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</si>
  <si>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</si>
  <si>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</si>
  <si>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</si>
  <si>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</si>
  <si>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</si>
  <si>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</si>
  <si>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</si>
  <si>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</si>
  <si>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</si>
  <si>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</si>
  <si>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</si>
  <si>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</si>
  <si>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</si>
  <si>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</si>
  <si>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</si>
  <si>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</si>
  <si>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</si>
  <si>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</si>
  <si>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</si>
  <si>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</si>
  <si>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</si>
  <si>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</si>
  <si>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</si>
  <si>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</si>
  <si>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</si>
  <si>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</si>
  <si>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</si>
  <si>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</si>
  <si>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</si>
  <si>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</si>
  <si>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</si>
  <si>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</si>
  <si>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</si>
  <si>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</si>
  <si>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</si>
  <si>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</si>
  <si>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</si>
  <si>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</si>
  <si>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</si>
  <si>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</si>
  <si>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</si>
  <si>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</si>
  <si>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</si>
  <si>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</si>
  <si>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</si>
  <si>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</si>
  <si>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</si>
  <si>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</si>
  <si>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</si>
  <si>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</si>
  <si>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</si>
  <si>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</si>
  <si>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</si>
  <si>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</si>
  <si>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</si>
  <si>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</si>
  <si>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</si>
  <si>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</si>
  <si>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</si>
  <si>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</si>
  <si>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</si>
  <si>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</si>
  <si>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</si>
  <si>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</si>
  <si>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</si>
  <si>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</si>
  <si>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</si>
  <si>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</si>
  <si>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</si>
  <si>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</si>
  <si>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</si>
  <si>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</si>
  <si>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</si>
  <si>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</si>
  <si>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</si>
  <si>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</si>
  <si>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</si>
  <si>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</si>
  <si>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</si>
  <si>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</si>
  <si>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</si>
  <si>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</si>
  <si>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</si>
  <si>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</si>
  <si>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</si>
  <si>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</si>
  <si>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</si>
  <si>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</si>
  <si>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</si>
  <si>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</si>
  <si>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</si>
  <si>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</si>
  <si>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</si>
  <si>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</si>
  <si>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</si>
  <si>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</si>
  <si>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</si>
  <si>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</si>
  <si>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</si>
  <si>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</si>
  <si>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</si>
  <si>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</si>
  <si>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</si>
  <si>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</si>
  <si>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</si>
  <si>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</si>
  <si>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</si>
  <si>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</si>
  <si>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</si>
  <si>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</si>
  <si>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</si>
  <si>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</si>
  <si>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</si>
  <si>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</si>
  <si>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</si>
  <si>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</si>
  <si>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</si>
  <si>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</si>
  <si>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</si>
  <si>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</si>
  <si>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</si>
  <si>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</si>
  <si>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</si>
  <si>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</si>
  <si>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</si>
  <si>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</si>
  <si>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</si>
  <si>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</si>
  <si>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</si>
  <si>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</si>
  <si>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</si>
  <si>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</si>
  <si>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</si>
  <si>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</si>
  <si>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</si>
  <si>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</si>
  <si>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</si>
  <si>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</si>
  <si>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</si>
  <si>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</si>
  <si>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</si>
  <si>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</si>
  <si>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</si>
  <si>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</si>
  <si>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</si>
  <si>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</si>
  <si>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</si>
  <si>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</si>
  <si>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</si>
  <si>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</si>
  <si>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</si>
  <si>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</si>
  <si>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</si>
  <si>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</si>
  <si>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</si>
  <si>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</si>
  <si>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</si>
  <si>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</si>
  <si>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</si>
  <si>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</si>
  <si>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</si>
  <si>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</si>
  <si>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</si>
  <si>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</si>
  <si>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</si>
  <si>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</si>
  <si>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</si>
  <si>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</si>
  <si>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</si>
  <si>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</si>
  <si>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</si>
  <si>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</si>
  <si>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</si>
  <si>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</si>
  <si>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</si>
  <si>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</si>
  <si>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</si>
  <si>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</si>
  <si>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</si>
  <si>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</si>
  <si>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</si>
  <si>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</si>
  <si>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</si>
  <si>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</si>
  <si>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</si>
  <si>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</si>
  <si>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</si>
  <si>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</si>
  <si>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</si>
  <si>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</si>
  <si>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</si>
  <si>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</si>
  <si>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</si>
  <si>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</si>
  <si>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</si>
  <si>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</si>
  <si>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</si>
  <si>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</si>
  <si>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</si>
  <si>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</si>
  <si>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</si>
  <si>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</si>
  <si>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</si>
  <si>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</si>
  <si>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</si>
  <si>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</si>
  <si>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</si>
  <si>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</si>
  <si>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</si>
  <si>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</si>
  <si>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</si>
  <si>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</si>
  <si>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</si>
  <si>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</si>
  <si>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</si>
  <si>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</si>
  <si>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</si>
  <si>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</si>
  <si>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</si>
  <si>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</si>
  <si>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</si>
  <si>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</si>
  <si>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</si>
  <si>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</si>
  <si>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</si>
  <si>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</si>
  <si>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</si>
  <si>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</si>
  <si>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</si>
  <si>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</si>
  <si>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</si>
  <si>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</si>
  <si>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</si>
  <si>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</si>
  <si>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</si>
  <si>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</si>
  <si>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</si>
  <si>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</si>
  <si>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</si>
  <si>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</si>
  <si>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</si>
  <si>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</si>
  <si>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</si>
  <si>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</si>
  <si>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</si>
  <si>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</si>
  <si>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</si>
  <si>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</si>
  <si>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</si>
  <si>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</si>
  <si>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</si>
  <si>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</si>
  <si>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</si>
  <si>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</si>
  <si>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</si>
  <si>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</si>
  <si>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</si>
  <si>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</si>
  <si>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</si>
  <si>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</si>
  <si>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</si>
  <si>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</si>
  <si>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</si>
  <si>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</si>
  <si>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</si>
  <si>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</si>
  <si>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</si>
  <si>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</si>
  <si>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</si>
  <si>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</si>
  <si>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</si>
  <si>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</si>
  <si>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</si>
  <si>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</si>
  <si>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</si>
  <si>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</si>
  <si>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</si>
  <si>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</si>
  <si>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</si>
  <si>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</si>
  <si>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</si>
  <si>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</si>
  <si>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</si>
  <si>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</si>
  <si>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</si>
  <si>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</si>
  <si>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</si>
  <si>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</si>
  <si>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</si>
  <si>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</si>
  <si>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</si>
  <si>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</si>
  <si>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</si>
  <si>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</si>
  <si>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</si>
  <si>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</si>
  <si>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</si>
  <si>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</si>
  <si>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</si>
  <si>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</si>
  <si>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</si>
  <si>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</si>
  <si>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</si>
  <si>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</si>
  <si>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</si>
  <si>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</si>
  <si>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</si>
  <si>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</si>
  <si>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</si>
  <si>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</si>
  <si>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</si>
  <si>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</si>
  <si>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</si>
  <si>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</si>
  <si>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</si>
  <si>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</si>
  <si>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</si>
  <si>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</si>
  <si>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</si>
  <si>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</si>
  <si>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</si>
  <si>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</si>
  <si>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</si>
  <si>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</si>
  <si>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</si>
  <si>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</si>
  <si>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</si>
  <si>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</si>
  <si>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</si>
  <si>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</si>
  <si>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</si>
  <si>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</si>
  <si>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</si>
  <si>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</si>
  <si>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</si>
  <si>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</si>
  <si>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</si>
  <si>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</si>
  <si>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</si>
  <si>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</si>
  <si>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</si>
  <si>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</si>
  <si>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</si>
  <si>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</si>
  <si>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</si>
  <si>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</si>
  <si>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</si>
  <si>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</si>
  <si>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</si>
  <si>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</si>
  <si>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</si>
  <si>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</si>
  <si>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</si>
  <si>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</si>
  <si>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</si>
  <si>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</si>
  <si>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</si>
  <si>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</si>
  <si>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</si>
  <si>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</si>
  <si>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</si>
  <si>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</si>
  <si>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</si>
  <si>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</si>
  <si>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</si>
  <si>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</si>
  <si>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</si>
  <si>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</si>
  <si>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</si>
  <si>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</si>
  <si>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</si>
  <si>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</si>
  <si>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</si>
  <si>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</si>
  <si>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</si>
  <si>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</si>
  <si>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</si>
  <si>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</si>
  <si>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</si>
  <si>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</si>
  <si>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</si>
  <si>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</si>
  <si>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</si>
  <si>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</si>
  <si>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</si>
  <si>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</si>
  <si>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</si>
  <si>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</si>
  <si>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</si>
  <si>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</si>
  <si>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</si>
  <si>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</si>
  <si>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</si>
  <si>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</si>
  <si>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</si>
  <si>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</si>
  <si>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</si>
  <si>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</si>
  <si>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</si>
  <si>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</si>
  <si>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</si>
  <si>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</si>
  <si>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</si>
  <si>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</si>
  <si>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</si>
  <si>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</si>
  <si>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</si>
  <si>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</si>
  <si>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</si>
  <si>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</si>
  <si>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</si>
  <si>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</si>
  <si>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</si>
  <si>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</si>
  <si>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</si>
  <si>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</si>
  <si>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</si>
  <si>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</si>
  <si>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</si>
  <si>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</si>
  <si>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</si>
  <si>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</si>
  <si>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</si>
  <si>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</si>
  <si>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</si>
  <si>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</si>
  <si>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</si>
  <si>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</si>
  <si>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</si>
  <si>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</si>
  <si>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</si>
  <si>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</si>
  <si>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</si>
  <si>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</si>
  <si>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</si>
  <si>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</si>
  <si>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Stewartstown School District</t>
  </si>
  <si>
    <t>8/1997</t>
  </si>
  <si>
    <t>08/2017</t>
  </si>
  <si>
    <t>Health Trust Prior year $ 13,078.20</t>
  </si>
  <si>
    <t>Health Trust - current year $ 4,514.42            Paid out to retirees $ 1,201.28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</si>
</sst>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501</v>
      </c>
      <c r="C2" s="21">
        <v>501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184622.47</v>
      </c>
      <c r="G9" s="18">
        <v>3060</v>
      </c>
      <c r="H9" s="18"/>
      <c r="I9" s="18"/>
      <c r="J9" s="67">
        <f>SUM(I439)</f>
        <v>209689.84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35283.74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99058.43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6431.04</v>
      </c>
      <c r="G13" s="18">
        <v>1890.92</v>
      </c>
      <c r="H13" s="18">
        <v>99158.58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7.25</v>
      </c>
      <c r="G14" s="18">
        <v>216.73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1092.1400000000001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325402.93</v>
      </c>
      <c r="G19" s="41">
        <f>SUM(G9:G18)</f>
        <v>6259.79</v>
      </c>
      <c r="H19" s="41">
        <f>SUM(H9:H18)</f>
        <v>99158.58</v>
      </c>
      <c r="I19" s="41">
        <f>SUM(I9:I18)</f>
        <v>0</v>
      </c>
      <c r="J19" s="41">
        <f>SUM(J9:J18)</f>
        <v>209689.84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f>99258.73-100.15-100.15</f>
        <v>99058.430000000008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23021.21</v>
      </c>
      <c r="G24" s="18">
        <f>384.66</f>
        <v>384.66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4919.58</v>
      </c>
      <c r="G28" s="18"/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375.69+468.8+353.43+3255.44+10.2</f>
        <v>4463.5600000000004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100.15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32404.350000000002</v>
      </c>
      <c r="G32" s="41">
        <f>SUM(G22:G31)</f>
        <v>384.66</v>
      </c>
      <c r="H32" s="41">
        <f>SUM(H22:H31)</f>
        <v>99158.58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1092.1400000000001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32758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7752.98+63087.5-66057.49</f>
        <v>4782.9899999999907</v>
      </c>
      <c r="H48" s="18"/>
      <c r="I48" s="18"/>
      <c r="J48" s="13">
        <f>SUM(I459)</f>
        <v>209689.84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2575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257665.58000000002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292998.58</v>
      </c>
      <c r="G51" s="41">
        <f>SUM(G35:G50)</f>
        <v>5875.129999999991</v>
      </c>
      <c r="H51" s="41">
        <f>SUM(H35:H50)</f>
        <v>0</v>
      </c>
      <c r="I51" s="41">
        <f>SUM(I35:I50)</f>
        <v>0</v>
      </c>
      <c r="J51" s="41">
        <f>SUM(J35:J50)</f>
        <v>209689.84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325402.93</v>
      </c>
      <c r="G52" s="41">
        <f>G51+G32</f>
        <v>6259.7899999999909</v>
      </c>
      <c r="H52" s="41">
        <f>H51+H32</f>
        <v>99158.58</v>
      </c>
      <c r="I52" s="41">
        <f>I51+I32</f>
        <v>0</v>
      </c>
      <c r="J52" s="41">
        <f>J51+J32</f>
        <v>209689.84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1310330-198873</f>
        <v>1111457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1111457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239.62</v>
      </c>
      <c r="G96" s="18"/>
      <c r="H96" s="18"/>
      <c r="I96" s="18"/>
      <c r="J96" s="18">
        <v>265.17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15522.66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402.5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13078.2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6842.22</f>
        <v>6842.22</v>
      </c>
      <c r="G110" s="18"/>
      <c r="H110" s="18">
        <f>2834.27+499.85</f>
        <v>3334.12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21062.54</v>
      </c>
      <c r="G111" s="41">
        <f>SUM(G96:G110)</f>
        <v>15522.66</v>
      </c>
      <c r="H111" s="41">
        <f>SUM(H96:H110)</f>
        <v>3334.12</v>
      </c>
      <c r="I111" s="41">
        <f>SUM(I96:I110)</f>
        <v>0</v>
      </c>
      <c r="J111" s="41">
        <f>SUM(J96:J110)</f>
        <v>265.17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1132519.54</v>
      </c>
      <c r="G112" s="41">
        <f>G60+G111</f>
        <v>15522.66</v>
      </c>
      <c r="H112" s="41">
        <f>H60+H79+H94+H111</f>
        <v>3334.12</v>
      </c>
      <c r="I112" s="41">
        <f>I60+I111</f>
        <v>0</v>
      </c>
      <c r="J112" s="41">
        <f>J60+J111</f>
        <v>265.17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522440.26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198873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721313.26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14086.24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51577.77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835.24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65664.009999999995</v>
      </c>
      <c r="G136" s="41">
        <f>SUM(G123:G135)</f>
        <v>835.24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786977.27</v>
      </c>
      <c r="G140" s="41">
        <f>G121+SUM(G136:G137)</f>
        <v>835.24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99394.56+21151+2816</f>
        <v>123361.56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24504.24+13154.91+12010.56+14648.5+7924.64</f>
        <v>72242.850000000006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38729.599999999999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4669.2700000000004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4163.1899999999996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4669.2700000000004</v>
      </c>
      <c r="G162" s="41">
        <f>SUM(G150:G161)</f>
        <v>38729.599999999999</v>
      </c>
      <c r="H162" s="41">
        <f>SUM(H150:H161)</f>
        <v>199767.6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4669.2700000000004</v>
      </c>
      <c r="G169" s="41">
        <f>G147+G162+SUM(G163:G168)</f>
        <v>38729.599999999999</v>
      </c>
      <c r="H169" s="41">
        <f>H147+H162+SUM(H163:H168)</f>
        <v>199767.6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8000</v>
      </c>
      <c r="H179" s="18"/>
      <c r="I179" s="18"/>
      <c r="J179" s="18">
        <v>45000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8000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8000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1924166.08</v>
      </c>
      <c r="G193" s="47">
        <f>G112+G140+G169+G192</f>
        <v>63087.5</v>
      </c>
      <c r="H193" s="47">
        <f>H112+H140+H169+H192</f>
        <v>203101.72</v>
      </c>
      <c r="I193" s="47">
        <f>I112+I140+I169+I192</f>
        <v>0</v>
      </c>
      <c r="J193" s="47">
        <f>J112+J140+J192</f>
        <v>45265.17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206890.85+13101.46+20118.35+8679.35</f>
        <v>248790.01</v>
      </c>
      <c r="G197" s="18">
        <f>95042.83+18128.13+29295.44+2027.44+1248.5</f>
        <v>145742.34</v>
      </c>
      <c r="H197" s="18">
        <f>16529.73+1972.66+4283.07+86854.62+295274.99-382129.61</f>
        <v>22785.459999999963</v>
      </c>
      <c r="I197" s="18">
        <f>10502.39+8544.4+39.82</f>
        <v>19086.61</v>
      </c>
      <c r="J197" s="18">
        <v>1050.31</v>
      </c>
      <c r="K197" s="18">
        <v>695.5</v>
      </c>
      <c r="L197" s="19">
        <f>SUM(F197:K197)</f>
        <v>438150.22999999992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45750+52871.4+103.79</f>
        <v>98725.189999999988</v>
      </c>
      <c r="G198" s="18">
        <f>7273.21+7486.35+6478.15</f>
        <v>21237.71</v>
      </c>
      <c r="H198" s="18"/>
      <c r="I198" s="18">
        <v>1503.46</v>
      </c>
      <c r="J198" s="18"/>
      <c r="K198" s="18"/>
      <c r="L198" s="19">
        <f>SUM(F198:K198)</f>
        <v>121466.36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1150.25+14042.35</f>
        <v>15192.6</v>
      </c>
      <c r="G202" s="18">
        <f>88+1074.19</f>
        <v>1162.19</v>
      </c>
      <c r="H202" s="18">
        <f>18600.54+18798.35+181.5-2340+58620+4549.03+746.55+28166+621.25</f>
        <v>127943.22</v>
      </c>
      <c r="I202" s="18">
        <f>184.92+714.36+362.96+429.01+273.69+183.8+1153.4</f>
        <v>3302.1400000000003</v>
      </c>
      <c r="J202" s="18">
        <v>5609.73</v>
      </c>
      <c r="K202" s="18">
        <v>164.33</v>
      </c>
      <c r="L202" s="19">
        <f t="shared" ref="L202:L208" si="0">SUM(F202:K202)</f>
        <v>153374.21000000002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34+24065.27</f>
        <v>24099.27</v>
      </c>
      <c r="G203" s="18">
        <v>1840.97</v>
      </c>
      <c r="H203" s="18"/>
      <c r="I203" s="18">
        <f>453.55+2162.45+96.8</f>
        <v>2712.8</v>
      </c>
      <c r="J203" s="18"/>
      <c r="K203" s="18">
        <f>559+950</f>
        <v>1509</v>
      </c>
      <c r="L203" s="19">
        <f t="shared" si="0"/>
        <v>30162.04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3025-935</f>
        <v>2090</v>
      </c>
      <c r="G204" s="18">
        <f>231.44-71.53</f>
        <v>159.91</v>
      </c>
      <c r="H204" s="18">
        <v>73687.53</v>
      </c>
      <c r="I204" s="18">
        <v>229.25</v>
      </c>
      <c r="J204" s="18">
        <v>0</v>
      </c>
      <c r="K204" s="18">
        <v>2515.29</v>
      </c>
      <c r="L204" s="19">
        <f t="shared" si="0"/>
        <v>78681.98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40838.11+27825.11+1250.08</f>
        <v>69913.3</v>
      </c>
      <c r="G205" s="18">
        <f>34183.87+5082.4+5959.72+500</f>
        <v>45725.990000000005</v>
      </c>
      <c r="H205" s="18">
        <f>1273.07+1863.86+242.11+412.3+94</f>
        <v>3885.34</v>
      </c>
      <c r="I205" s="18">
        <f>2057.49+26.67+351.91</f>
        <v>2436.0699999999997</v>
      </c>
      <c r="J205" s="18"/>
      <c r="K205" s="18">
        <v>1377.61</v>
      </c>
      <c r="L205" s="19">
        <f t="shared" si="0"/>
        <v>123338.31000000001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25130.84</v>
      </c>
      <c r="G207" s="18">
        <f>14546.32+1783.88</f>
        <v>16330.2</v>
      </c>
      <c r="H207" s="18">
        <f>3014+920.5+1320+3932+18213.75+5326+68.8</f>
        <v>32795.050000000003</v>
      </c>
      <c r="I207" s="18">
        <f>6292.03+17959.49+12262.91+54.65</f>
        <v>36569.08</v>
      </c>
      <c r="J207" s="18">
        <f>2458+1569.18</f>
        <v>4027.1800000000003</v>
      </c>
      <c r="K207" s="18">
        <v>1153</v>
      </c>
      <c r="L207" s="19">
        <f t="shared" si="0"/>
        <v>116005.35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24045.68+436.9+474.02+1093.31</f>
        <v>26049.910000000003</v>
      </c>
      <c r="G208" s="18">
        <f>1872.97+200+36.25+83.49</f>
        <v>2192.71</v>
      </c>
      <c r="H208" s="18">
        <f>7847.88+1715+771.99+918.4</f>
        <v>11253.27</v>
      </c>
      <c r="I208" s="18">
        <f>1373.17+179.2+10124.48+333.5</f>
        <v>12010.35</v>
      </c>
      <c r="J208" s="18"/>
      <c r="K208" s="18">
        <v>886.5</v>
      </c>
      <c r="L208" s="19">
        <f t="shared" si="0"/>
        <v>52392.74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509991.12</v>
      </c>
      <c r="G211" s="41">
        <f t="shared" si="1"/>
        <v>234392.02</v>
      </c>
      <c r="H211" s="41">
        <f t="shared" si="1"/>
        <v>272349.87</v>
      </c>
      <c r="I211" s="41">
        <f t="shared" si="1"/>
        <v>77849.760000000009</v>
      </c>
      <c r="J211" s="41">
        <f t="shared" si="1"/>
        <v>10687.22</v>
      </c>
      <c r="K211" s="41">
        <f t="shared" si="1"/>
        <v>8301.23</v>
      </c>
      <c r="L211" s="41">
        <f t="shared" si="1"/>
        <v>1113571.2200000002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382129.61</v>
      </c>
      <c r="I233" s="18"/>
      <c r="J233" s="18"/>
      <c r="K233" s="18"/>
      <c r="L233" s="19">
        <f>SUM(F233:K233)</f>
        <v>382129.61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39235.67+105105</f>
        <v>144340.66999999998</v>
      </c>
      <c r="I234" s="18"/>
      <c r="J234" s="18"/>
      <c r="K234" s="18"/>
      <c r="L234" s="19">
        <f>SUM(F234:K234)</f>
        <v>144340.66999999998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2340</v>
      </c>
      <c r="I238" s="18"/>
      <c r="J238" s="18"/>
      <c r="K238" s="18"/>
      <c r="L238" s="19">
        <f t="shared" ref="L238:L244" si="4">SUM(F238:K238)</f>
        <v>2340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935</v>
      </c>
      <c r="G240" s="18">
        <v>71.53</v>
      </c>
      <c r="H240" s="18">
        <v>29477.47</v>
      </c>
      <c r="I240" s="18"/>
      <c r="J240" s="18"/>
      <c r="K240" s="18">
        <v>779.45</v>
      </c>
      <c r="L240" s="19">
        <f t="shared" si="4"/>
        <v>31263.45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12126.1+207.59</f>
        <v>12333.69</v>
      </c>
      <c r="G244" s="18">
        <v>943.54</v>
      </c>
      <c r="H244" s="18">
        <f>3174.99+735+228+25643</f>
        <v>29780.989999999998</v>
      </c>
      <c r="I244" s="18">
        <f>236.9+76.8+4064.78</f>
        <v>4378.4800000000005</v>
      </c>
      <c r="J244" s="18"/>
      <c r="K244" s="18"/>
      <c r="L244" s="19">
        <f t="shared" si="4"/>
        <v>47436.700000000004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13268.69</v>
      </c>
      <c r="G247" s="41">
        <f t="shared" si="5"/>
        <v>1015.0699999999999</v>
      </c>
      <c r="H247" s="41">
        <f t="shared" si="5"/>
        <v>588068.74</v>
      </c>
      <c r="I247" s="41">
        <f t="shared" si="5"/>
        <v>4378.4800000000005</v>
      </c>
      <c r="J247" s="41">
        <f t="shared" si="5"/>
        <v>0</v>
      </c>
      <c r="K247" s="41">
        <f t="shared" si="5"/>
        <v>779.45</v>
      </c>
      <c r="L247" s="41">
        <f t="shared" si="5"/>
        <v>607510.42999999993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523259.81</v>
      </c>
      <c r="G257" s="41">
        <f t="shared" si="8"/>
        <v>235407.09</v>
      </c>
      <c r="H257" s="41">
        <f t="shared" si="8"/>
        <v>860418.61</v>
      </c>
      <c r="I257" s="41">
        <f t="shared" si="8"/>
        <v>82228.240000000005</v>
      </c>
      <c r="J257" s="41">
        <f t="shared" si="8"/>
        <v>10687.22</v>
      </c>
      <c r="K257" s="41">
        <f t="shared" si="8"/>
        <v>9080.68</v>
      </c>
      <c r="L257" s="41">
        <f t="shared" si="8"/>
        <v>1721081.6500000001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45000</v>
      </c>
      <c r="L260" s="19">
        <f>SUM(F260:K260)</f>
        <v>45000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10537.5</v>
      </c>
      <c r="L261" s="19">
        <f>SUM(F261:K261)</f>
        <v>10537.5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8000</v>
      </c>
      <c r="L263" s="19">
        <f>SUM(F263:K263)</f>
        <v>8000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108537.5</v>
      </c>
      <c r="L270" s="41">
        <f t="shared" si="9"/>
        <v>108537.5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523259.81</v>
      </c>
      <c r="G271" s="42">
        <f t="shared" si="11"/>
        <v>235407.09</v>
      </c>
      <c r="H271" s="42">
        <f t="shared" si="11"/>
        <v>860418.61</v>
      </c>
      <c r="I271" s="42">
        <f t="shared" si="11"/>
        <v>82228.240000000005</v>
      </c>
      <c r="J271" s="42">
        <f t="shared" si="11"/>
        <v>10687.22</v>
      </c>
      <c r="K271" s="42">
        <f t="shared" si="11"/>
        <v>117618.18</v>
      </c>
      <c r="L271" s="42">
        <f t="shared" si="11"/>
        <v>1829619.1500000001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375+1440+570</f>
        <v>2385</v>
      </c>
      <c r="G276" s="18">
        <f>28.68+110.16</f>
        <v>138.84</v>
      </c>
      <c r="H276" s="18"/>
      <c r="I276" s="18">
        <f>672.71+2545</f>
        <v>3217.71</v>
      </c>
      <c r="J276" s="18">
        <f>11430.79+2264.27</f>
        <v>13695.060000000001</v>
      </c>
      <c r="K276" s="18"/>
      <c r="L276" s="19">
        <f>SUM(F276:K276)</f>
        <v>19436.61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55175.25</v>
      </c>
      <c r="G277" s="18">
        <f>24365.16+4023.78+7812.74</f>
        <v>36201.68</v>
      </c>
      <c r="H277" s="18"/>
      <c r="I277" s="18">
        <f>183.61+134.35</f>
        <v>317.96000000000004</v>
      </c>
      <c r="J277" s="18"/>
      <c r="K277" s="18"/>
      <c r="L277" s="19">
        <f>SUM(F277:K277)</f>
        <v>91694.89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12062.5+1576.94</f>
        <v>13639.44</v>
      </c>
      <c r="G279" s="18">
        <f>1043.46+1836.41</f>
        <v>2879.87</v>
      </c>
      <c r="H279" s="18"/>
      <c r="I279" s="18"/>
      <c r="J279" s="18"/>
      <c r="K279" s="18">
        <v>350</v>
      </c>
      <c r="L279" s="19">
        <f>SUM(F279:K279)</f>
        <v>16869.310000000001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1732.45</v>
      </c>
      <c r="I281" s="18">
        <v>499.85</v>
      </c>
      <c r="J281" s="18"/>
      <c r="K281" s="18">
        <v>2430.7399999999998</v>
      </c>
      <c r="L281" s="19">
        <f t="shared" ref="L281:L287" si="12">SUM(F281:K281)</f>
        <v>4663.04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8330+1309+4437+714</f>
        <v>14790</v>
      </c>
      <c r="G282" s="18">
        <f>637.28+1179.5+102.7+190+339.45+628.27+54.63+101.1</f>
        <v>3232.93</v>
      </c>
      <c r="H282" s="18">
        <f>10800+1532+8000+1194+5854+751.84+2500+316+3000+1060.91</f>
        <v>35008.75</v>
      </c>
      <c r="I282" s="18">
        <v>241.78</v>
      </c>
      <c r="J282" s="18"/>
      <c r="K282" s="18">
        <f>980+2994</f>
        <v>3974</v>
      </c>
      <c r="L282" s="19">
        <f t="shared" si="12"/>
        <v>57247.46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5499.99+1500+500</f>
        <v>7499.99</v>
      </c>
      <c r="G283" s="18">
        <f>420.9+778.78+114.75+212.4+38.25+70.8</f>
        <v>1635.8799999999999</v>
      </c>
      <c r="H283" s="18"/>
      <c r="I283" s="18"/>
      <c r="J283" s="18"/>
      <c r="K283" s="18"/>
      <c r="L283" s="19">
        <f t="shared" si="12"/>
        <v>9135.869999999999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1000+1000+400+200</f>
        <v>2600</v>
      </c>
      <c r="L285" s="19">
        <f t="shared" si="12"/>
        <v>2600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900</v>
      </c>
      <c r="G287" s="18">
        <v>69</v>
      </c>
      <c r="H287" s="18"/>
      <c r="I287" s="18">
        <v>485.54</v>
      </c>
      <c r="J287" s="18"/>
      <c r="K287" s="18"/>
      <c r="L287" s="19">
        <f t="shared" si="12"/>
        <v>1454.54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94389.680000000008</v>
      </c>
      <c r="G290" s="42">
        <f t="shared" si="13"/>
        <v>44158.2</v>
      </c>
      <c r="H290" s="42">
        <f t="shared" si="13"/>
        <v>36741.199999999997</v>
      </c>
      <c r="I290" s="42">
        <f t="shared" si="13"/>
        <v>4762.84</v>
      </c>
      <c r="J290" s="42">
        <f t="shared" si="13"/>
        <v>13695.060000000001</v>
      </c>
      <c r="K290" s="42">
        <f t="shared" si="13"/>
        <v>9354.74</v>
      </c>
      <c r="L290" s="41">
        <f t="shared" si="13"/>
        <v>203101.72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94389.680000000008</v>
      </c>
      <c r="G338" s="41">
        <f t="shared" si="20"/>
        <v>44158.2</v>
      </c>
      <c r="H338" s="41">
        <f t="shared" si="20"/>
        <v>36741.199999999997</v>
      </c>
      <c r="I338" s="41">
        <f t="shared" si="20"/>
        <v>4762.84</v>
      </c>
      <c r="J338" s="41">
        <f t="shared" si="20"/>
        <v>13695.060000000001</v>
      </c>
      <c r="K338" s="41">
        <f t="shared" si="20"/>
        <v>9354.74</v>
      </c>
      <c r="L338" s="41">
        <f t="shared" si="20"/>
        <v>203101.72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94389.680000000008</v>
      </c>
      <c r="G352" s="41">
        <f>G338</f>
        <v>44158.2</v>
      </c>
      <c r="H352" s="41">
        <f>H338</f>
        <v>36741.199999999997</v>
      </c>
      <c r="I352" s="41">
        <f>I338</f>
        <v>4762.84</v>
      </c>
      <c r="J352" s="41">
        <f>J338</f>
        <v>13695.060000000001</v>
      </c>
      <c r="K352" s="47">
        <f>K338+K351</f>
        <v>9354.74</v>
      </c>
      <c r="L352" s="41">
        <f>L338+L351</f>
        <v>203101.72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>
        <v>215.98</v>
      </c>
      <c r="H358" s="18">
        <f>912.71+64540.24</f>
        <v>65452.95</v>
      </c>
      <c r="I358" s="18">
        <v>388.56</v>
      </c>
      <c r="J358" s="18"/>
      <c r="K358" s="18"/>
      <c r="L358" s="13">
        <f>SUM(F358:K358)</f>
        <v>66057.489999999991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215.98</v>
      </c>
      <c r="H362" s="47">
        <f t="shared" si="22"/>
        <v>65452.95</v>
      </c>
      <c r="I362" s="47">
        <f t="shared" si="22"/>
        <v>388.56</v>
      </c>
      <c r="J362" s="47">
        <f t="shared" si="22"/>
        <v>0</v>
      </c>
      <c r="K362" s="47">
        <f t="shared" si="22"/>
        <v>0</v>
      </c>
      <c r="L362" s="47">
        <f t="shared" si="22"/>
        <v>66057.489999999991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388.56</v>
      </c>
      <c r="G368" s="63"/>
      <c r="H368" s="63"/>
      <c r="I368" s="56">
        <f>SUM(F368:H368)</f>
        <v>388.56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388.56</v>
      </c>
      <c r="G369" s="47">
        <f>SUM(G367:G368)</f>
        <v>0</v>
      </c>
      <c r="H369" s="47">
        <f>SUM(H367:H368)</f>
        <v>0</v>
      </c>
      <c r="I369" s="47">
        <f>SUM(I367:I368)</f>
        <v>388.56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20000</v>
      </c>
      <c r="H390" s="18">
        <v>16.399999999999999</v>
      </c>
      <c r="I390" s="18"/>
      <c r="J390" s="24" t="s">
        <v>289</v>
      </c>
      <c r="K390" s="24" t="s">
        <v>289</v>
      </c>
      <c r="L390" s="56">
        <f t="shared" si="25"/>
        <v>20016.400000000001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</v>
      </c>
      <c r="H393" s="139">
        <f>SUM(H387:H392)</f>
        <v>16.399999999999999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20016.400000000001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f>16.56</f>
        <v>16.559999999999999</v>
      </c>
      <c r="I396" s="18"/>
      <c r="J396" s="24" t="s">
        <v>289</v>
      </c>
      <c r="K396" s="24" t="s">
        <v>289</v>
      </c>
      <c r="L396" s="56">
        <f t="shared" si="26"/>
        <v>20016.560000000001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f>228.97</f>
        <v>228.97</v>
      </c>
      <c r="I398" s="18"/>
      <c r="J398" s="24" t="s">
        <v>289</v>
      </c>
      <c r="K398" s="24" t="s">
        <v>289</v>
      </c>
      <c r="L398" s="56">
        <f t="shared" si="26"/>
        <v>5228.97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3.24</f>
        <v>3.24</v>
      </c>
      <c r="I400" s="18"/>
      <c r="J400" s="24" t="s">
        <v>289</v>
      </c>
      <c r="K400" s="24" t="s">
        <v>289</v>
      </c>
      <c r="L400" s="56">
        <f t="shared" si="26"/>
        <v>3.24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248.77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25248.770000000004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265.17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45265.170000000006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50</v>
      </c>
      <c r="L418" s="56">
        <f t="shared" si="27"/>
        <v>50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50</v>
      </c>
      <c r="L419" s="47">
        <f t="shared" si="28"/>
        <v>50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50</v>
      </c>
      <c r="L434" s="47">
        <f t="shared" si="32"/>
        <v>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22122.18</v>
      </c>
      <c r="G439" s="18">
        <f>209689.84-22122.18</f>
        <v>187567.66</v>
      </c>
      <c r="H439" s="18"/>
      <c r="I439" s="56">
        <f t="shared" ref="I439:I445" si="33">SUM(F439:H439)</f>
        <v>209689.84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22122.18</v>
      </c>
      <c r="G446" s="13">
        <f>SUM(G439:G445)</f>
        <v>187567.66</v>
      </c>
      <c r="H446" s="13">
        <f>SUM(H439:H445)</f>
        <v>0</v>
      </c>
      <c r="I446" s="13">
        <f>SUM(I439:I445)</f>
        <v>209689.84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22122.18</v>
      </c>
      <c r="G459" s="18">
        <v>187567.66</v>
      </c>
      <c r="H459" s="18"/>
      <c r="I459" s="56">
        <f t="shared" si="34"/>
        <v>209689.84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22122.18</v>
      </c>
      <c r="G460" s="83">
        <f>SUM(G454:G459)</f>
        <v>187567.66</v>
      </c>
      <c r="H460" s="83">
        <f>SUM(H454:H459)</f>
        <v>0</v>
      </c>
      <c r="I460" s="83">
        <f>SUM(I454:I459)</f>
        <v>209689.84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22122.18</v>
      </c>
      <c r="G461" s="42">
        <f>G452+G460</f>
        <v>187567.66</v>
      </c>
      <c r="H461" s="42">
        <f>H452+H460</f>
        <v>0</v>
      </c>
      <c r="I461" s="42">
        <f>I452+I460</f>
        <v>209689.84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198451.65</v>
      </c>
      <c r="G465" s="18">
        <v>10481.94</v>
      </c>
      <c r="H465" s="18"/>
      <c r="I465" s="18"/>
      <c r="J465" s="18">
        <v>164424.67000000001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1924166.08</v>
      </c>
      <c r="G468" s="18">
        <v>63087.5</v>
      </c>
      <c r="H468" s="18">
        <v>203101.72</v>
      </c>
      <c r="I468" s="18"/>
      <c r="J468" s="18">
        <v>45265.17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50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1924166.08</v>
      </c>
      <c r="G470" s="53">
        <f>SUM(G468:G469)</f>
        <v>63087.5</v>
      </c>
      <c r="H470" s="53">
        <f>SUM(H468:H469)</f>
        <v>203101.72</v>
      </c>
      <c r="I470" s="53">
        <f>SUM(I468:I469)</f>
        <v>0</v>
      </c>
      <c r="J470" s="53">
        <f>SUM(J468:J469)</f>
        <v>45315.17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1829619.15</v>
      </c>
      <c r="G472" s="18">
        <v>66057.490000000005</v>
      </c>
      <c r="H472" s="18">
        <v>203101.72</v>
      </c>
      <c r="I472" s="18"/>
      <c r="J472" s="18">
        <v>50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1636.82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1829619.15</v>
      </c>
      <c r="G474" s="53">
        <f>SUM(G472:G473)</f>
        <v>67694.310000000012</v>
      </c>
      <c r="H474" s="53">
        <f>SUM(H472:H473)</f>
        <v>203101.72</v>
      </c>
      <c r="I474" s="53">
        <f>SUM(I472:I473)</f>
        <v>0</v>
      </c>
      <c r="J474" s="53">
        <f>SUM(J472:J473)</f>
        <v>50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292998.58000000007</v>
      </c>
      <c r="G476" s="53">
        <f>(G465+G470)- G474</f>
        <v>5875.1299999999901</v>
      </c>
      <c r="H476" s="53">
        <f>(H465+H470)- H474</f>
        <v>0</v>
      </c>
      <c r="I476" s="53">
        <f>(I465+I470)- I474</f>
        <v>0</v>
      </c>
      <c r="J476" s="53">
        <f>(J465+J470)- J474</f>
        <v>209689.84000000003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913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249438</v>
      </c>
      <c r="G493" s="18">
        <v>748312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5.01</v>
      </c>
      <c r="G494" s="18">
        <v>4.9800000000000004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50000</v>
      </c>
      <c r="G495" s="18">
        <v>175000</v>
      </c>
      <c r="H495" s="18"/>
      <c r="I495" s="18"/>
      <c r="J495" s="18"/>
      <c r="K495" s="53">
        <f>SUM(F495:J495)</f>
        <v>225000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10000</v>
      </c>
      <c r="G497" s="18">
        <v>35000</v>
      </c>
      <c r="H497" s="18"/>
      <c r="I497" s="18"/>
      <c r="J497" s="18"/>
      <c r="K497" s="53">
        <f t="shared" si="35"/>
        <v>45000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40000</v>
      </c>
      <c r="G498" s="204">
        <v>140000</v>
      </c>
      <c r="H498" s="204"/>
      <c r="I498" s="204"/>
      <c r="J498" s="204"/>
      <c r="K498" s="205">
        <f t="shared" si="35"/>
        <v>180000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1052.5+792.5+792.5+530+5630+265+265</f>
        <v>9327.5</v>
      </c>
      <c r="G499" s="18">
        <f>3640+2730+2730+1820+1820+910+910</f>
        <v>14560</v>
      </c>
      <c r="H499" s="18"/>
      <c r="I499" s="18"/>
      <c r="J499" s="18"/>
      <c r="K499" s="53">
        <f t="shared" si="35"/>
        <v>23887.5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49327.5</v>
      </c>
      <c r="G500" s="42">
        <f>SUM(G498:G499)</f>
        <v>154560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203887.5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10000</v>
      </c>
      <c r="G501" s="204">
        <v>35000</v>
      </c>
      <c r="H501" s="204"/>
      <c r="I501" s="204"/>
      <c r="J501" s="204"/>
      <c r="K501" s="205">
        <f t="shared" si="35"/>
        <v>45000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1052.5+792.5</f>
        <v>1845</v>
      </c>
      <c r="G502" s="18">
        <f>3640+2730</f>
        <v>6370</v>
      </c>
      <c r="H502" s="18"/>
      <c r="I502" s="18"/>
      <c r="J502" s="18"/>
      <c r="K502" s="53">
        <f t="shared" si="35"/>
        <v>8215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11845</v>
      </c>
      <c r="G503" s="42">
        <f>SUM(G501:G502)</f>
        <v>41370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53215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45750+38277.48+14593.92</f>
        <v>98621.400000000009</v>
      </c>
      <c r="G521" s="18">
        <f>7273.21+6362+1116.42+6478.15</f>
        <v>21229.78</v>
      </c>
      <c r="H521" s="18"/>
      <c r="I521" s="18">
        <v>1503.46</v>
      </c>
      <c r="J521" s="18"/>
      <c r="K521" s="18"/>
      <c r="L521" s="88">
        <f>SUM(F521:K521)</f>
        <v>121354.64000000001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39235.67+105105</f>
        <v>144340.66999999998</v>
      </c>
      <c r="I523" s="18"/>
      <c r="J523" s="18"/>
      <c r="K523" s="18"/>
      <c r="L523" s="88">
        <f>SUM(F523:K523)</f>
        <v>144340.66999999998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98621.400000000009</v>
      </c>
      <c r="G524" s="108">
        <f t="shared" ref="G524:L524" si="36">SUM(G521:G523)</f>
        <v>21229.78</v>
      </c>
      <c r="H524" s="108">
        <f t="shared" si="36"/>
        <v>144340.66999999998</v>
      </c>
      <c r="I524" s="108">
        <f t="shared" si="36"/>
        <v>1503.46</v>
      </c>
      <c r="J524" s="108">
        <f t="shared" si="36"/>
        <v>0</v>
      </c>
      <c r="K524" s="108">
        <f t="shared" si="36"/>
        <v>0</v>
      </c>
      <c r="L524" s="89">
        <f t="shared" si="36"/>
        <v>265695.31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1016.5+9916.5</f>
        <v>10933</v>
      </c>
      <c r="G526" s="18">
        <f>77.77+758.58</f>
        <v>836.35</v>
      </c>
      <c r="H526" s="18">
        <f>35874.48+4549.03+2340+6222.46</f>
        <v>48985.97</v>
      </c>
      <c r="I526" s="18">
        <f>362.96+429.01</f>
        <v>791.97</v>
      </c>
      <c r="J526" s="18"/>
      <c r="K526" s="18"/>
      <c r="L526" s="88">
        <f>SUM(F526:K526)</f>
        <v>61547.29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10933</v>
      </c>
      <c r="G529" s="89">
        <f t="shared" ref="G529:L529" si="37">SUM(G526:G528)</f>
        <v>836.35</v>
      </c>
      <c r="H529" s="89">
        <f t="shared" si="37"/>
        <v>48985.97</v>
      </c>
      <c r="I529" s="89">
        <f t="shared" si="37"/>
        <v>791.97</v>
      </c>
      <c r="J529" s="89">
        <f t="shared" si="37"/>
        <v>0</v>
      </c>
      <c r="K529" s="89">
        <f t="shared" si="37"/>
        <v>0</v>
      </c>
      <c r="L529" s="89">
        <f t="shared" si="37"/>
        <v>61547.29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7890.96*0.9</f>
        <v>7101.8640000000005</v>
      </c>
      <c r="I531" s="18"/>
      <c r="J531" s="18"/>
      <c r="K531" s="18"/>
      <c r="L531" s="88">
        <f>SUM(F531:K531)</f>
        <v>7101.8640000000005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f>7890.96-7101.86</f>
        <v>789.10000000000036</v>
      </c>
      <c r="I533" s="18"/>
      <c r="J533" s="18"/>
      <c r="K533" s="18"/>
      <c r="L533" s="88">
        <f>SUM(F533:K533)</f>
        <v>789.10000000000036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7890.9640000000009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7890.9640000000009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474.02</v>
      </c>
      <c r="G541" s="18">
        <v>36.25</v>
      </c>
      <c r="H541" s="18"/>
      <c r="I541" s="18"/>
      <c r="J541" s="18"/>
      <c r="K541" s="18"/>
      <c r="L541" s="88">
        <f>SUM(F541:K541)</f>
        <v>510.27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25643</v>
      </c>
      <c r="I543" s="18"/>
      <c r="J543" s="18"/>
      <c r="K543" s="18"/>
      <c r="L543" s="88">
        <f>SUM(F543:K543)</f>
        <v>25643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474.02</v>
      </c>
      <c r="G544" s="193">
        <f t="shared" ref="G544:L544" si="40">SUM(G541:G543)</f>
        <v>36.25</v>
      </c>
      <c r="H544" s="193">
        <f t="shared" si="40"/>
        <v>25643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26153.27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110028.42000000001</v>
      </c>
      <c r="G545" s="89">
        <f t="shared" ref="G545:L545" si="41">G524+G529+G534+G539+G544</f>
        <v>22102.379999999997</v>
      </c>
      <c r="H545" s="89">
        <f t="shared" si="41"/>
        <v>226860.60399999999</v>
      </c>
      <c r="I545" s="89">
        <f t="shared" si="41"/>
        <v>2295.4300000000003</v>
      </c>
      <c r="J545" s="89">
        <f t="shared" si="41"/>
        <v>0</v>
      </c>
      <c r="K545" s="89">
        <f t="shared" si="41"/>
        <v>0</v>
      </c>
      <c r="L545" s="89">
        <f t="shared" si="41"/>
        <v>361286.83399999997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121354.64000000001</v>
      </c>
      <c r="G549" s="87">
        <f>L526</f>
        <v>61547.29</v>
      </c>
      <c r="H549" s="87">
        <f>L531</f>
        <v>7101.8640000000005</v>
      </c>
      <c r="I549" s="87">
        <f>L536</f>
        <v>0</v>
      </c>
      <c r="J549" s="87">
        <f>L541</f>
        <v>510.27</v>
      </c>
      <c r="K549" s="87">
        <f>SUM(F549:J549)</f>
        <v>190514.06400000001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144340.66999999998</v>
      </c>
      <c r="G551" s="87">
        <f>L528</f>
        <v>0</v>
      </c>
      <c r="H551" s="87">
        <f>L533</f>
        <v>789.10000000000036</v>
      </c>
      <c r="I551" s="87">
        <f>L538</f>
        <v>0</v>
      </c>
      <c r="J551" s="87">
        <f>L543</f>
        <v>25643</v>
      </c>
      <c r="K551" s="87">
        <f>SUM(F551:J551)</f>
        <v>170772.77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265695.31</v>
      </c>
      <c r="G552" s="89">
        <f t="shared" si="42"/>
        <v>61547.29</v>
      </c>
      <c r="H552" s="89">
        <f t="shared" si="42"/>
        <v>7890.9640000000009</v>
      </c>
      <c r="I552" s="89">
        <f t="shared" si="42"/>
        <v>0</v>
      </c>
      <c r="J552" s="89">
        <f t="shared" si="42"/>
        <v>26153.27</v>
      </c>
      <c r="K552" s="89">
        <f t="shared" si="42"/>
        <v>361286.83400000003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86854.62</v>
      </c>
      <c r="I575" s="87">
        <f>SUM(F575:H575)</f>
        <v>86854.62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295274.99</v>
      </c>
      <c r="I576" s="87">
        <f t="shared" ref="I576:I587" si="47">SUM(F576:H576)</f>
        <v>295274.99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50372.17</v>
      </c>
      <c r="I591" s="18"/>
      <c r="J591" s="18">
        <v>21793.7</v>
      </c>
      <c r="K591" s="104">
        <f t="shared" ref="K591:K597" si="48">SUM(H591:J591)</f>
        <v>72165.87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510.27</v>
      </c>
      <c r="I592" s="18"/>
      <c r="J592" s="18">
        <v>25643</v>
      </c>
      <c r="K592" s="104">
        <f t="shared" si="48"/>
        <v>26153.27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1510.3</v>
      </c>
      <c r="I595" s="18"/>
      <c r="J595" s="18"/>
      <c r="K595" s="104">
        <f t="shared" si="48"/>
        <v>1510.3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52392.74</v>
      </c>
      <c r="I598" s="108">
        <f>SUM(I591:I597)</f>
        <v>0</v>
      </c>
      <c r="J598" s="108">
        <f>SUM(J591:J597)</f>
        <v>47436.7</v>
      </c>
      <c r="K598" s="108">
        <f>SUM(K591:K597)</f>
        <v>99829.440000000002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24382.28</v>
      </c>
      <c r="I604" s="18"/>
      <c r="J604" s="18"/>
      <c r="K604" s="104">
        <f>SUM(H604:J604)</f>
        <v>24382.28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24382.28</v>
      </c>
      <c r="I605" s="108">
        <f>SUM(I602:I604)</f>
        <v>0</v>
      </c>
      <c r="J605" s="108">
        <f>SUM(J602:J604)</f>
        <v>0</v>
      </c>
      <c r="K605" s="108">
        <f>SUM(K602:K604)</f>
        <v>24382.28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325402.93</v>
      </c>
      <c r="H617" s="109">
        <f>SUM(F52)</f>
        <v>325402.93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6259.79</v>
      </c>
      <c r="H618" s="109">
        <f>SUM(G52)</f>
        <v>6259.7899999999909</v>
      </c>
      <c r="I618" s="121" t="s">
        <v>901</v>
      </c>
      <c r="J618" s="109">
        <f>G618-H618</f>
        <v>9.0949470177292824E-12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99158.58</v>
      </c>
      <c r="H619" s="109">
        <f>SUM(H52)</f>
        <v>99158.58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209689.84</v>
      </c>
      <c r="H621" s="109">
        <f>SUM(J52)</f>
        <v>209689.84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292998.58</v>
      </c>
      <c r="H622" s="109">
        <f>F476</f>
        <v>292998.58000000007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5875.129999999991</v>
      </c>
      <c r="H623" s="109">
        <f>G476</f>
        <v>5875.1299999999901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209689.84</v>
      </c>
      <c r="H626" s="109">
        <f>J476</f>
        <v>209689.84000000003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1924166.08</v>
      </c>
      <c r="H627" s="104">
        <f>SUM(F468)</f>
        <v>1924166.08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63087.5</v>
      </c>
      <c r="H628" s="104">
        <f>SUM(G468)</f>
        <v>63087.5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203101.72</v>
      </c>
      <c r="H629" s="104">
        <f>SUM(H468)</f>
        <v>203101.72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45265.17</v>
      </c>
      <c r="H631" s="104">
        <f>SUM(J468)</f>
        <v>45265.17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1829619.1500000001</v>
      </c>
      <c r="H632" s="104">
        <f>SUM(F472)</f>
        <v>1829619.15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203101.72</v>
      </c>
      <c r="H633" s="104">
        <f>SUM(H472)</f>
        <v>203101.72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388.56</v>
      </c>
      <c r="H634" s="104">
        <f>I369</f>
        <v>388.56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66057.489999999991</v>
      </c>
      <c r="H635" s="104">
        <f>SUM(G472)</f>
        <v>66057.490000000005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45265.170000000006</v>
      </c>
      <c r="H637" s="164">
        <f>SUM(J468)</f>
        <v>45265.17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50</v>
      </c>
      <c r="H638" s="164">
        <f>SUM(J472)</f>
        <v>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22122.18</v>
      </c>
      <c r="H639" s="104">
        <f>SUM(F461)</f>
        <v>22122.18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187567.66</v>
      </c>
      <c r="H640" s="104">
        <f>SUM(G461)</f>
        <v>187567.66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209689.84</v>
      </c>
      <c r="H642" s="104">
        <f>SUM(I461)</f>
        <v>209689.84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265.17</v>
      </c>
      <c r="H644" s="104">
        <f>H408</f>
        <v>265.17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</v>
      </c>
      <c r="H645" s="104">
        <f>G408</f>
        <v>45000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45265.17</v>
      </c>
      <c r="H646" s="104">
        <f>L408</f>
        <v>45265.170000000006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99829.440000000002</v>
      </c>
      <c r="H647" s="104">
        <f>L208+L226+L244</f>
        <v>99829.440000000002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24382.28</v>
      </c>
      <c r="H648" s="104">
        <f>(J257+J338)-(J255+J336)</f>
        <v>24382.28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52392.74</v>
      </c>
      <c r="H649" s="104">
        <f>H598</f>
        <v>52392.74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47436.700000000004</v>
      </c>
      <c r="H651" s="104">
        <f>J598</f>
        <v>47436.7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8000</v>
      </c>
      <c r="H652" s="104">
        <f>K263+K345</f>
        <v>8000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</v>
      </c>
      <c r="H655" s="104">
        <f>K266+K347</f>
        <v>45000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1382730.4300000002</v>
      </c>
      <c r="G660" s="19">
        <f>(L229+L309+L359)</f>
        <v>0</v>
      </c>
      <c r="H660" s="19">
        <f>(L247+L328+L360)</f>
        <v>607510.42999999993</v>
      </c>
      <c r="I660" s="19">
        <f>SUM(F660:H660)</f>
        <v>1990240.86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15522.66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15522.66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53847.28</v>
      </c>
      <c r="G662" s="19">
        <f>(L226+L306)-(J226+J306)</f>
        <v>0</v>
      </c>
      <c r="H662" s="19">
        <f>(L244+L325)-(J244+J325)</f>
        <v>47436.700000000004</v>
      </c>
      <c r="I662" s="19">
        <f>SUM(F662:H662)</f>
        <v>101283.98000000001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24382.28</v>
      </c>
      <c r="G663" s="199">
        <f>SUM(G575:G587)+SUM(I602:I604)+L612</f>
        <v>0</v>
      </c>
      <c r="H663" s="199">
        <f>SUM(H575:H587)+SUM(J602:J604)+L613</f>
        <v>382129.61</v>
      </c>
      <c r="I663" s="19">
        <f>SUM(F663:H663)</f>
        <v>406511.89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1288978.2100000002</v>
      </c>
      <c r="G664" s="19">
        <f>G660-SUM(G661:G663)</f>
        <v>0</v>
      </c>
      <c r="H664" s="19">
        <f>H660-SUM(H661:H663)</f>
        <v>177944.11999999994</v>
      </c>
      <c r="I664" s="19">
        <f>I660-SUM(I661:I663)</f>
        <v>1466922.33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90.33</v>
      </c>
      <c r="G665" s="248"/>
      <c r="H665" s="248"/>
      <c r="I665" s="19">
        <f>SUM(F665:H665)</f>
        <v>90.33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14269.66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16239.59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-177944.12</v>
      </c>
      <c r="I669" s="19">
        <f>SUM(F669:H669)</f>
        <v>-177944.12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14269.66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14269.66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Stewartstown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251175.01</v>
      </c>
      <c r="C9" s="229">
        <f>'DOE25'!G197+'DOE25'!G215+'DOE25'!G233+'DOE25'!G276+'DOE25'!G295+'DOE25'!G314</f>
        <v>145881.18</v>
      </c>
    </row>
    <row r="10" spans="1:3" x14ac:dyDescent="0.2">
      <c r="A10" t="s">
        <v>779</v>
      </c>
      <c r="B10" s="240">
        <f>206890.85+20118.35</f>
        <v>227009.2</v>
      </c>
      <c r="C10" s="240">
        <f>95042.83+29295.44+2027.44+1248.5+18128.13-1024.53+138.84-865.23</f>
        <v>143991.41999999998</v>
      </c>
    </row>
    <row r="11" spans="1:3" x14ac:dyDescent="0.2">
      <c r="A11" t="s">
        <v>780</v>
      </c>
      <c r="B11" s="240">
        <f>13101.46</f>
        <v>13101.46</v>
      </c>
      <c r="C11" s="240">
        <v>1024.53</v>
      </c>
    </row>
    <row r="12" spans="1:3" x14ac:dyDescent="0.2">
      <c r="A12" t="s">
        <v>781</v>
      </c>
      <c r="B12" s="240">
        <f>375+1440+8679.35+570</f>
        <v>11064.35</v>
      </c>
      <c r="C12" s="240">
        <v>865.23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251175.01</v>
      </c>
      <c r="C13" s="231">
        <f>SUM(C10:C12)</f>
        <v>145881.18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153900.44</v>
      </c>
      <c r="C18" s="229">
        <f>'DOE25'!G198+'DOE25'!G216+'DOE25'!G234+'DOE25'!G277+'DOE25'!G296+'DOE25'!G315</f>
        <v>57439.39</v>
      </c>
    </row>
    <row r="19" spans="1:3" x14ac:dyDescent="0.2">
      <c r="A19" t="s">
        <v>779</v>
      </c>
      <c r="B19" s="240">
        <f>55175.25+45750</f>
        <v>100925.25</v>
      </c>
      <c r="C19" s="240">
        <f>7273.21+7486.35+6478.15+24365.16+4023.78+7812.74-4142.66</f>
        <v>53296.729999999996</v>
      </c>
    </row>
    <row r="20" spans="1:3" x14ac:dyDescent="0.2">
      <c r="A20" t="s">
        <v>780</v>
      </c>
      <c r="B20" s="240">
        <f>52871.4+103.79</f>
        <v>52975.19</v>
      </c>
      <c r="C20" s="240">
        <v>4142.66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153900.44</v>
      </c>
      <c r="C22" s="231">
        <f>SUM(C19:C21)</f>
        <v>57439.39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13639.44</v>
      </c>
      <c r="C36" s="235">
        <f>'DOE25'!G200+'DOE25'!G218+'DOE25'!G236+'DOE25'!G279+'DOE25'!G298+'DOE25'!G317</f>
        <v>2879.87</v>
      </c>
    </row>
    <row r="37" spans="1:3" x14ac:dyDescent="0.2">
      <c r="A37" t="s">
        <v>779</v>
      </c>
      <c r="B37" s="240">
        <f>12062.5</f>
        <v>12062.5</v>
      </c>
      <c r="C37" s="240">
        <f>1836.41+1043.46</f>
        <v>2879.87</v>
      </c>
    </row>
    <row r="38" spans="1:3" x14ac:dyDescent="0.2">
      <c r="A38" t="s">
        <v>780</v>
      </c>
      <c r="B38" s="240">
        <f>1576.94</f>
        <v>1576.94</v>
      </c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13639.44</v>
      </c>
      <c r="C40" s="231">
        <f>SUM(C37:C39)</f>
        <v>2879.87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Stewartstown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1086086.8700000001</v>
      </c>
      <c r="D5" s="20">
        <f>SUM('DOE25'!L197:L200)+SUM('DOE25'!L215:L218)+SUM('DOE25'!L233:L236)-F5-G5</f>
        <v>1084341.06</v>
      </c>
      <c r="E5" s="243"/>
      <c r="F5" s="255">
        <f>SUM('DOE25'!J197:J200)+SUM('DOE25'!J215:J218)+SUM('DOE25'!J233:J236)</f>
        <v>1050.31</v>
      </c>
      <c r="G5" s="53">
        <f>SUM('DOE25'!K197:K200)+SUM('DOE25'!K215:K218)+SUM('DOE25'!K233:K236)</f>
        <v>695.5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155714.21000000002</v>
      </c>
      <c r="D6" s="20">
        <f>'DOE25'!L202+'DOE25'!L220+'DOE25'!L238-F6-G6</f>
        <v>149940.15000000002</v>
      </c>
      <c r="E6" s="243"/>
      <c r="F6" s="255">
        <f>'DOE25'!J202+'DOE25'!J220+'DOE25'!J238</f>
        <v>5609.73</v>
      </c>
      <c r="G6" s="53">
        <f>'DOE25'!K202+'DOE25'!K220+'DOE25'!K238</f>
        <v>164.33</v>
      </c>
      <c r="H6" s="259"/>
    </row>
    <row r="7" spans="1:9" x14ac:dyDescent="0.2">
      <c r="A7" s="32">
        <v>2200</v>
      </c>
      <c r="B7" t="s">
        <v>834</v>
      </c>
      <c r="C7" s="245">
        <f t="shared" si="0"/>
        <v>30162.04</v>
      </c>
      <c r="D7" s="20">
        <f>'DOE25'!L203+'DOE25'!L221+'DOE25'!L239-F7-G7</f>
        <v>28653.040000000001</v>
      </c>
      <c r="E7" s="243"/>
      <c r="F7" s="255">
        <f>'DOE25'!J203+'DOE25'!J221+'DOE25'!J239</f>
        <v>0</v>
      </c>
      <c r="G7" s="53">
        <f>'DOE25'!K203+'DOE25'!K221+'DOE25'!K239</f>
        <v>1509</v>
      </c>
      <c r="H7" s="259"/>
    </row>
    <row r="8" spans="1:9" x14ac:dyDescent="0.2">
      <c r="A8" s="32">
        <v>2300</v>
      </c>
      <c r="B8" t="s">
        <v>802</v>
      </c>
      <c r="C8" s="245">
        <f t="shared" si="0"/>
        <v>56379.339999999975</v>
      </c>
      <c r="D8" s="243"/>
      <c r="E8" s="20">
        <f>'DOE25'!L204+'DOE25'!L222+'DOE25'!L240-F8-G8-D9-D11</f>
        <v>53084.599999999977</v>
      </c>
      <c r="F8" s="255">
        <f>'DOE25'!J204+'DOE25'!J222+'DOE25'!J240</f>
        <v>0</v>
      </c>
      <c r="G8" s="53">
        <f>'DOE25'!K204+'DOE25'!K222+'DOE25'!K240</f>
        <v>3294.74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25738.43</v>
      </c>
      <c r="D9" s="244">
        <v>25738.43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6900</v>
      </c>
      <c r="D10" s="243"/>
      <c r="E10" s="244">
        <v>6900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27827.66</v>
      </c>
      <c r="D11" s="244">
        <v>27827.66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123338.31000000001</v>
      </c>
      <c r="D12" s="20">
        <f>'DOE25'!L205+'DOE25'!L223+'DOE25'!L241-F12-G12</f>
        <v>121960.70000000001</v>
      </c>
      <c r="E12" s="243"/>
      <c r="F12" s="255">
        <f>'DOE25'!J205+'DOE25'!J223+'DOE25'!J241</f>
        <v>0</v>
      </c>
      <c r="G12" s="53">
        <f>'DOE25'!K205+'DOE25'!K223+'DOE25'!K241</f>
        <v>1377.61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116005.35</v>
      </c>
      <c r="D14" s="20">
        <f>'DOE25'!L207+'DOE25'!L225+'DOE25'!L243-F14-G14</f>
        <v>110825.17000000001</v>
      </c>
      <c r="E14" s="243"/>
      <c r="F14" s="255">
        <f>'DOE25'!J207+'DOE25'!J225+'DOE25'!J243</f>
        <v>4027.1800000000003</v>
      </c>
      <c r="G14" s="53">
        <f>'DOE25'!K207+'DOE25'!K225+'DOE25'!K243</f>
        <v>1153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99829.440000000002</v>
      </c>
      <c r="D15" s="20">
        <f>'DOE25'!L208+'DOE25'!L226+'DOE25'!L244-F15-G15</f>
        <v>98942.94</v>
      </c>
      <c r="E15" s="243"/>
      <c r="F15" s="255">
        <f>'DOE25'!J208+'DOE25'!J226+'DOE25'!J244</f>
        <v>0</v>
      </c>
      <c r="G15" s="53">
        <f>'DOE25'!K208+'DOE25'!K226+'DOE25'!K244</f>
        <v>886.5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55537.5</v>
      </c>
      <c r="D25" s="243"/>
      <c r="E25" s="243"/>
      <c r="F25" s="258"/>
      <c r="G25" s="256"/>
      <c r="H25" s="257">
        <f>'DOE25'!L260+'DOE25'!L261+'DOE25'!L341+'DOE25'!L342</f>
        <v>55537.5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66057.489999999991</v>
      </c>
      <c r="D29" s="20">
        <f>'DOE25'!L358+'DOE25'!L359+'DOE25'!L360-'DOE25'!I367-F29-G29</f>
        <v>66057.489999999991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203101.72</v>
      </c>
      <c r="D31" s="20">
        <f>'DOE25'!L290+'DOE25'!L309+'DOE25'!L328+'DOE25'!L333+'DOE25'!L334+'DOE25'!L335-F31-G31</f>
        <v>180051.92</v>
      </c>
      <c r="E31" s="243"/>
      <c r="F31" s="255">
        <f>'DOE25'!J290+'DOE25'!J309+'DOE25'!J328+'DOE25'!J333+'DOE25'!J334+'DOE25'!J335</f>
        <v>13695.060000000001</v>
      </c>
      <c r="G31" s="53">
        <f>'DOE25'!K290+'DOE25'!K309+'DOE25'!K328+'DOE25'!K333+'DOE25'!K334+'DOE25'!K335</f>
        <v>9354.74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1894338.5599999996</v>
      </c>
      <c r="E33" s="246">
        <f>SUM(E5:E31)</f>
        <v>59984.599999999977</v>
      </c>
      <c r="F33" s="246">
        <f>SUM(F5:F31)</f>
        <v>24382.28</v>
      </c>
      <c r="G33" s="246">
        <f>SUM(G5:G31)</f>
        <v>18435.419999999998</v>
      </c>
      <c r="H33" s="246">
        <f>SUM(H5:H31)</f>
        <v>55537.5</v>
      </c>
    </row>
    <row r="35" spans="2:8" ht="12" thickBot="1" x14ac:dyDescent="0.25">
      <c r="B35" s="253" t="s">
        <v>847</v>
      </c>
      <c r="D35" s="254">
        <f>E33</f>
        <v>59984.599999999977</v>
      </c>
      <c r="E35" s="249"/>
    </row>
    <row r="36" spans="2:8" ht="12" thickTop="1" x14ac:dyDescent="0.2">
      <c r="B36" t="s">
        <v>815</v>
      </c>
      <c r="D36" s="20">
        <f>D33</f>
        <v>1894338.5599999996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184622.47</v>
      </c>
      <c r="D8" s="95">
        <f>'DOE25'!G9</f>
        <v>3060</v>
      </c>
      <c r="E8" s="95">
        <f>'DOE25'!H9</f>
        <v>0</v>
      </c>
      <c r="F8" s="95">
        <f>'DOE25'!I9</f>
        <v>0</v>
      </c>
      <c r="G8" s="95">
        <f>'DOE25'!J9</f>
        <v>209689.84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35283.74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99058.43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6431.04</v>
      </c>
      <c r="D12" s="95">
        <f>'DOE25'!G13</f>
        <v>1890.92</v>
      </c>
      <c r="E12" s="95">
        <f>'DOE25'!H13</f>
        <v>99158.58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7.25</v>
      </c>
      <c r="D13" s="95">
        <f>'DOE25'!G14</f>
        <v>216.73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1092.1400000000001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325402.93</v>
      </c>
      <c r="D18" s="41">
        <f>SUM(D8:D17)</f>
        <v>6259.79</v>
      </c>
      <c r="E18" s="41">
        <f>SUM(E8:E17)</f>
        <v>99158.58</v>
      </c>
      <c r="F18" s="41">
        <f>SUM(F8:F17)</f>
        <v>0</v>
      </c>
      <c r="G18" s="41">
        <f>SUM(G8:G17)</f>
        <v>209689.84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99058.430000000008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23021.21</v>
      </c>
      <c r="D23" s="95">
        <f>'DOE25'!G24</f>
        <v>384.66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4919.58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4463.5600000000004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100.15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32404.350000000002</v>
      </c>
      <c r="D31" s="41">
        <f>SUM(D21:D30)</f>
        <v>384.66</v>
      </c>
      <c r="E31" s="41">
        <f>SUM(E21:E30)</f>
        <v>99158.58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1092.1400000000001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32758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4782.9899999999907</v>
      </c>
      <c r="E47" s="95">
        <f>'DOE25'!H48</f>
        <v>0</v>
      </c>
      <c r="F47" s="95">
        <f>'DOE25'!I48</f>
        <v>0</v>
      </c>
      <c r="G47" s="95">
        <f>'DOE25'!J48</f>
        <v>209689.84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2575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257665.58000000002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292998.58</v>
      </c>
      <c r="D50" s="41">
        <f>SUM(D34:D49)</f>
        <v>5875.129999999991</v>
      </c>
      <c r="E50" s="41">
        <f>SUM(E34:E49)</f>
        <v>0</v>
      </c>
      <c r="F50" s="41">
        <f>SUM(F34:F49)</f>
        <v>0</v>
      </c>
      <c r="G50" s="41">
        <f>SUM(G34:G49)</f>
        <v>209689.84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325402.93</v>
      </c>
      <c r="D51" s="41">
        <f>D50+D31</f>
        <v>6259.7899999999909</v>
      </c>
      <c r="E51" s="41">
        <f>E50+E31</f>
        <v>99158.58</v>
      </c>
      <c r="F51" s="41">
        <f>F50+F31</f>
        <v>0</v>
      </c>
      <c r="G51" s="41">
        <f>G50+G31</f>
        <v>209689.84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1111457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239.62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265.17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15522.66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20822.920000000002</v>
      </c>
      <c r="D61" s="95">
        <f>SUM('DOE25'!G98:G110)</f>
        <v>0</v>
      </c>
      <c r="E61" s="95">
        <f>SUM('DOE25'!H98:H110)</f>
        <v>3334.12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21062.54</v>
      </c>
      <c r="D62" s="130">
        <f>SUM(D57:D61)</f>
        <v>15522.66</v>
      </c>
      <c r="E62" s="130">
        <f>SUM(E57:E61)</f>
        <v>3334.12</v>
      </c>
      <c r="F62" s="130">
        <f>SUM(F57:F61)</f>
        <v>0</v>
      </c>
      <c r="G62" s="130">
        <f>SUM(G57:G61)</f>
        <v>265.17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1132519.54</v>
      </c>
      <c r="D63" s="22">
        <f>D56+D62</f>
        <v>15522.66</v>
      </c>
      <c r="E63" s="22">
        <f>E56+E62</f>
        <v>3334.12</v>
      </c>
      <c r="F63" s="22">
        <f>F56+F62</f>
        <v>0</v>
      </c>
      <c r="G63" s="22">
        <f>G56+G62</f>
        <v>265.17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522440.26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198873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721313.26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14086.24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51577.77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835.24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65664.009999999995</v>
      </c>
      <c r="D78" s="130">
        <f>SUM(D72:D77)</f>
        <v>835.24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786977.27</v>
      </c>
      <c r="D81" s="130">
        <f>SUM(D79:D80)+D78+D70</f>
        <v>835.24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4669.2700000000004</v>
      </c>
      <c r="D88" s="95">
        <f>SUM('DOE25'!G153:G161)</f>
        <v>38729.599999999999</v>
      </c>
      <c r="E88" s="95">
        <f>SUM('DOE25'!H153:H161)</f>
        <v>199767.6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4669.2700000000004</v>
      </c>
      <c r="D91" s="131">
        <f>SUM(D85:D90)</f>
        <v>38729.599999999999</v>
      </c>
      <c r="E91" s="131">
        <f>SUM(E85:E90)</f>
        <v>199767.6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8000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8000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765</v>
      </c>
      <c r="C104" s="86">
        <f>C63+C81+C91+C103</f>
        <v>1924166.08</v>
      </c>
      <c r="D104" s="86">
        <f>D63+D81+D91+D103</f>
        <v>63087.5</v>
      </c>
      <c r="E104" s="86">
        <f>E63+E81+E91+E103</f>
        <v>203101.72</v>
      </c>
      <c r="F104" s="86">
        <f>F63+F81+F91+F103</f>
        <v>0</v>
      </c>
      <c r="G104" s="86">
        <f>G63+G81+G103</f>
        <v>45265.17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820279.83999999985</v>
      </c>
      <c r="D109" s="24" t="s">
        <v>289</v>
      </c>
      <c r="E109" s="95">
        <f>('DOE25'!L276)+('DOE25'!L295)+('DOE25'!L314)</f>
        <v>19436.61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265807.02999999997</v>
      </c>
      <c r="D110" s="24" t="s">
        <v>289</v>
      </c>
      <c r="E110" s="95">
        <f>('DOE25'!L277)+('DOE25'!L296)+('DOE25'!L315)</f>
        <v>91694.89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16869.310000000001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1086086.8699999999</v>
      </c>
      <c r="D115" s="86">
        <f>SUM(D109:D114)</f>
        <v>0</v>
      </c>
      <c r="E115" s="86">
        <f>SUM(E109:E114)</f>
        <v>128000.81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155714.21000000002</v>
      </c>
      <c r="D118" s="24" t="s">
        <v>289</v>
      </c>
      <c r="E118" s="95">
        <f>+('DOE25'!L281)+('DOE25'!L300)+('DOE25'!L319)</f>
        <v>4663.04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30162.04</v>
      </c>
      <c r="D119" s="24" t="s">
        <v>289</v>
      </c>
      <c r="E119" s="95">
        <f>+('DOE25'!L282)+('DOE25'!L301)+('DOE25'!L320)</f>
        <v>57247.46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109945.43</v>
      </c>
      <c r="D120" s="24" t="s">
        <v>289</v>
      </c>
      <c r="E120" s="95">
        <f>+('DOE25'!L283)+('DOE25'!L302)+('DOE25'!L321)</f>
        <v>9135.869999999999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123338.31000000001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2600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116005.35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99829.440000000002</v>
      </c>
      <c r="D124" s="24" t="s">
        <v>289</v>
      </c>
      <c r="E124" s="95">
        <f>+('DOE25'!L287)+('DOE25'!L306)+('DOE25'!L325)</f>
        <v>1454.54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66057.489999999991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634994.78</v>
      </c>
      <c r="D128" s="86">
        <f>SUM(D118:D127)</f>
        <v>66057.489999999991</v>
      </c>
      <c r="E128" s="86">
        <f>SUM(E118:E127)</f>
        <v>75100.909999999989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10537.5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</v>
      </c>
    </row>
    <row r="135" spans="1:7" x14ac:dyDescent="0.2">
      <c r="A135" t="s">
        <v>233</v>
      </c>
      <c r="B135" s="32" t="s">
        <v>234</v>
      </c>
      <c r="C135" s="95">
        <f>'DOE25'!L263</f>
        <v>8000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20016.400000000001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25248.770000000004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-265.17000000000553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108537.5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</v>
      </c>
    </row>
    <row r="145" spans="1:9" ht="12.75" thickTop="1" thickBot="1" x14ac:dyDescent="0.25">
      <c r="A145" s="33" t="s">
        <v>244</v>
      </c>
      <c r="C145" s="86">
        <f>(C115+C128+C144)</f>
        <v>1829619.15</v>
      </c>
      <c r="D145" s="86">
        <f>(D115+D128+D144)</f>
        <v>66057.489999999991</v>
      </c>
      <c r="E145" s="86">
        <f>(E115+E128+E144)</f>
        <v>203101.71999999997</v>
      </c>
      <c r="F145" s="86">
        <f>(F115+F128+F144)</f>
        <v>0</v>
      </c>
      <c r="G145" s="86">
        <f>(G115+G128+G144)</f>
        <v>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8/1997</v>
      </c>
      <c r="C152" s="152" t="str">
        <f>'DOE25'!G491</f>
        <v>8/1997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08/2017</v>
      </c>
      <c r="C153" s="152" t="str">
        <f>'DOE25'!G492</f>
        <v>08/2017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249438</v>
      </c>
      <c r="C154" s="137">
        <f>'DOE25'!G493</f>
        <v>748312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5.01</v>
      </c>
      <c r="C155" s="137">
        <f>'DOE25'!G494</f>
        <v>4.9800000000000004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50000</v>
      </c>
      <c r="C156" s="137">
        <f>'DOE25'!G495</f>
        <v>175000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</v>
      </c>
      <c r="C158" s="137">
        <f>'DOE25'!G497</f>
        <v>35000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45000</v>
      </c>
    </row>
    <row r="159" spans="1:9" x14ac:dyDescent="0.2">
      <c r="A159" s="22" t="s">
        <v>35</v>
      </c>
      <c r="B159" s="137">
        <f>'DOE25'!F498</f>
        <v>40000</v>
      </c>
      <c r="C159" s="137">
        <f>'DOE25'!G498</f>
        <v>140000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180000</v>
      </c>
    </row>
    <row r="160" spans="1:9" x14ac:dyDescent="0.2">
      <c r="A160" s="22" t="s">
        <v>36</v>
      </c>
      <c r="B160" s="137">
        <f>'DOE25'!F499</f>
        <v>9327.5</v>
      </c>
      <c r="C160" s="137">
        <f>'DOE25'!G499</f>
        <v>14560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23887.5</v>
      </c>
    </row>
    <row r="161" spans="1:7" x14ac:dyDescent="0.2">
      <c r="A161" s="22" t="s">
        <v>37</v>
      </c>
      <c r="B161" s="137">
        <f>'DOE25'!F500</f>
        <v>49327.5</v>
      </c>
      <c r="C161" s="137">
        <f>'DOE25'!G500</f>
        <v>154560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203887.5</v>
      </c>
    </row>
    <row r="162" spans="1:7" x14ac:dyDescent="0.2">
      <c r="A162" s="22" t="s">
        <v>38</v>
      </c>
      <c r="B162" s="137">
        <f>'DOE25'!F501</f>
        <v>10000</v>
      </c>
      <c r="C162" s="137">
        <f>'DOE25'!G501</f>
        <v>35000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45000</v>
      </c>
    </row>
    <row r="163" spans="1:7" x14ac:dyDescent="0.2">
      <c r="A163" s="22" t="s">
        <v>39</v>
      </c>
      <c r="B163" s="137">
        <f>'DOE25'!F502</f>
        <v>1845</v>
      </c>
      <c r="C163" s="137">
        <f>'DOE25'!G502</f>
        <v>6370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8215</v>
      </c>
    </row>
    <row r="164" spans="1:7" x14ac:dyDescent="0.2">
      <c r="A164" s="22" t="s">
        <v>246</v>
      </c>
      <c r="B164" s="137">
        <f>'DOE25'!F503</f>
        <v>11845</v>
      </c>
      <c r="C164" s="137">
        <f>'DOE25'!G503</f>
        <v>41370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53215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Stewartstown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14270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14270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839716</v>
      </c>
      <c r="D10" s="182">
        <f>ROUND((C10/$C$28)*100,1)</f>
        <v>42.3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357502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16869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160377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87410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119081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123338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2600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116005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101284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10538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50534.34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1985254.34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1985254.34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1111457</v>
      </c>
      <c r="D35" s="182">
        <f t="shared" ref="D35:D40" si="1">ROUND((C35/$C$41)*100,1)</f>
        <v>51.3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24661.830000000075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721313</v>
      </c>
      <c r="D37" s="182">
        <f t="shared" si="1"/>
        <v>33.299999999999997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66499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243166</v>
      </c>
      <c r="D39" s="182">
        <f t="shared" si="1"/>
        <v>11.2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2167096.83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Stewartstown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23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24</v>
      </c>
      <c r="C5" s="284" t="s">
        <v>915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2014-09-10T15:16:54Z</cp:lastPrinted>
  <dcterms:created xsi:type="dcterms:W3CDTF">1997-12-04T19:04:30Z</dcterms:created>
  <dcterms:modified xsi:type="dcterms:W3CDTF">2014-09-10T15:16:57Z</dcterms:modified>
</cp:coreProperties>
</file>