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6" i="1" l="1"/>
  <c r="H521" i="1"/>
  <c r="F472" i="1"/>
  <c r="H198" i="1"/>
  <c r="F9" i="1"/>
  <c r="C19" i="12" l="1"/>
  <c r="C20" i="12"/>
  <c r="B19" i="12"/>
  <c r="B20" i="12"/>
  <c r="C10" i="12"/>
  <c r="B10" i="12"/>
  <c r="C11" i="12"/>
  <c r="B11" i="12"/>
  <c r="I197" i="1" l="1"/>
  <c r="J197" i="1"/>
  <c r="H592" i="1"/>
  <c r="H541" i="1"/>
  <c r="H531" i="1"/>
  <c r="I521" i="1"/>
  <c r="G521" i="1"/>
  <c r="F521" i="1"/>
  <c r="H358" i="1"/>
  <c r="G276" i="1"/>
  <c r="I276" i="1"/>
  <c r="H276" i="1"/>
  <c r="H207" i="1"/>
  <c r="F203" i="1"/>
  <c r="H208" i="1"/>
  <c r="J207" i="1"/>
  <c r="I207" i="1"/>
  <c r="G207" i="1"/>
  <c r="F207" i="1"/>
  <c r="K205" i="1"/>
  <c r="I205" i="1"/>
  <c r="H205" i="1"/>
  <c r="G205" i="1"/>
  <c r="F205" i="1"/>
  <c r="H240" i="1"/>
  <c r="G203" i="1"/>
  <c r="K203" i="1"/>
  <c r="J203" i="1"/>
  <c r="I203" i="1"/>
  <c r="H203" i="1"/>
  <c r="I202" i="1"/>
  <c r="H202" i="1"/>
  <c r="G202" i="1"/>
  <c r="F202" i="1"/>
  <c r="K200" i="1"/>
  <c r="I200" i="1"/>
  <c r="G200" i="1"/>
  <c r="F200" i="1"/>
  <c r="I198" i="1"/>
  <c r="F198" i="1"/>
  <c r="G198" i="1"/>
  <c r="H233" i="1"/>
  <c r="H244" i="1"/>
  <c r="H234" i="1"/>
  <c r="H197" i="1"/>
  <c r="G197" i="1"/>
  <c r="F197" i="1"/>
  <c r="F1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E13" i="13" s="1"/>
  <c r="C13" i="13" s="1"/>
  <c r="L206" i="1"/>
  <c r="L224" i="1"/>
  <c r="L242" i="1"/>
  <c r="F16" i="13"/>
  <c r="E16" i="13" s="1"/>
  <c r="C16" i="13" s="1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C16" i="10" s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G651" i="1" s="1"/>
  <c r="F17" i="13"/>
  <c r="D17" i="13" s="1"/>
  <c r="C17" i="13" s="1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F662" i="1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1" i="10"/>
  <c r="C12" i="10"/>
  <c r="C13" i="10"/>
  <c r="C15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H661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D18" i="2" s="1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70" i="2" s="1"/>
  <c r="C69" i="2"/>
  <c r="D69" i="2"/>
  <c r="D70" i="2" s="1"/>
  <c r="D81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F78" i="2" s="1"/>
  <c r="F81" i="2" s="1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5" i="2" s="1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E119" i="2"/>
  <c r="E120" i="2"/>
  <c r="E121" i="2"/>
  <c r="C122" i="2"/>
  <c r="E122" i="2"/>
  <c r="C123" i="2"/>
  <c r="E123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L256" i="1" s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J641" i="1" s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F470" i="1"/>
  <c r="G470" i="1"/>
  <c r="G476" i="1" s="1"/>
  <c r="H623" i="1" s="1"/>
  <c r="J623" i="1" s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H545" i="1" s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H641" i="1"/>
  <c r="G643" i="1"/>
  <c r="H643" i="1"/>
  <c r="G644" i="1"/>
  <c r="H647" i="1"/>
  <c r="G649" i="1"/>
  <c r="G650" i="1"/>
  <c r="G652" i="1"/>
  <c r="H652" i="1"/>
  <c r="G653" i="1"/>
  <c r="H653" i="1"/>
  <c r="G654" i="1"/>
  <c r="H654" i="1"/>
  <c r="H655" i="1"/>
  <c r="C26" i="10"/>
  <c r="L328" i="1"/>
  <c r="L351" i="1"/>
  <c r="L290" i="1"/>
  <c r="A31" i="12"/>
  <c r="D18" i="13"/>
  <c r="C18" i="13" s="1"/>
  <c r="D6" i="13"/>
  <c r="C6" i="13" s="1"/>
  <c r="D50" i="2"/>
  <c r="F18" i="2"/>
  <c r="G156" i="2"/>
  <c r="E62" i="2"/>
  <c r="E63" i="2" s="1"/>
  <c r="D19" i="13"/>
  <c r="C19" i="13" s="1"/>
  <c r="E78" i="2"/>
  <c r="L427" i="1"/>
  <c r="H112" i="1"/>
  <c r="J639" i="1"/>
  <c r="J571" i="1"/>
  <c r="K571" i="1"/>
  <c r="L433" i="1"/>
  <c r="L419" i="1"/>
  <c r="I169" i="1"/>
  <c r="J643" i="1"/>
  <c r="H476" i="1"/>
  <c r="H624" i="1" s="1"/>
  <c r="J624" i="1" s="1"/>
  <c r="I476" i="1"/>
  <c r="H625" i="1" s="1"/>
  <c r="J625" i="1" s="1"/>
  <c r="F169" i="1"/>
  <c r="J140" i="1"/>
  <c r="F571" i="1"/>
  <c r="I552" i="1"/>
  <c r="K550" i="1"/>
  <c r="G22" i="2"/>
  <c r="K545" i="1"/>
  <c r="C29" i="10"/>
  <c r="H140" i="1"/>
  <c r="L393" i="1"/>
  <c r="F22" i="13"/>
  <c r="C22" i="13" s="1"/>
  <c r="H25" i="13"/>
  <c r="C25" i="13" s="1"/>
  <c r="H571" i="1"/>
  <c r="L560" i="1"/>
  <c r="J545" i="1"/>
  <c r="H338" i="1"/>
  <c r="H352" i="1" s="1"/>
  <c r="F338" i="1"/>
  <c r="F352" i="1" s="1"/>
  <c r="H192" i="1"/>
  <c r="C35" i="10"/>
  <c r="L309" i="1"/>
  <c r="J655" i="1"/>
  <c r="L570" i="1"/>
  <c r="I571" i="1"/>
  <c r="I545" i="1"/>
  <c r="J636" i="1"/>
  <c r="G36" i="2"/>
  <c r="L565" i="1"/>
  <c r="C138" i="2"/>
  <c r="L529" i="1" l="1"/>
  <c r="J476" i="1"/>
  <c r="H626" i="1" s="1"/>
  <c r="J644" i="1"/>
  <c r="E81" i="2"/>
  <c r="L401" i="1"/>
  <c r="C139" i="2" s="1"/>
  <c r="G81" i="2"/>
  <c r="E31" i="2"/>
  <c r="H33" i="13"/>
  <c r="D91" i="2"/>
  <c r="A40" i="12"/>
  <c r="D14" i="13"/>
  <c r="C14" i="13" s="1"/>
  <c r="C18" i="2"/>
  <c r="J640" i="1"/>
  <c r="I446" i="1"/>
  <c r="G642" i="1" s="1"/>
  <c r="J642" i="1" s="1"/>
  <c r="K605" i="1"/>
  <c r="G648" i="1" s="1"/>
  <c r="K598" i="1"/>
  <c r="G647" i="1" s="1"/>
  <c r="J647" i="1" s="1"/>
  <c r="J651" i="1"/>
  <c r="J649" i="1"/>
  <c r="L544" i="1"/>
  <c r="L534" i="1"/>
  <c r="F552" i="1"/>
  <c r="K549" i="1"/>
  <c r="K551" i="1"/>
  <c r="F476" i="1"/>
  <c r="H622" i="1" s="1"/>
  <c r="J622" i="1" s="1"/>
  <c r="D29" i="13"/>
  <c r="C29" i="13" s="1"/>
  <c r="D127" i="2"/>
  <c r="D128" i="2" s="1"/>
  <c r="D145" i="2" s="1"/>
  <c r="F661" i="1"/>
  <c r="I661" i="1" s="1"/>
  <c r="L362" i="1"/>
  <c r="G635" i="1" s="1"/>
  <c r="J635" i="1" s="1"/>
  <c r="E124" i="2"/>
  <c r="E128" i="2" s="1"/>
  <c r="J338" i="1"/>
  <c r="J352" i="1" s="1"/>
  <c r="J257" i="1"/>
  <c r="J271" i="1" s="1"/>
  <c r="H257" i="1"/>
  <c r="H271" i="1" s="1"/>
  <c r="C121" i="2"/>
  <c r="D12" i="13"/>
  <c r="C12" i="13" s="1"/>
  <c r="K257" i="1"/>
  <c r="K271" i="1" s="1"/>
  <c r="I257" i="1"/>
  <c r="I271" i="1" s="1"/>
  <c r="G257" i="1"/>
  <c r="G271" i="1" s="1"/>
  <c r="F257" i="1"/>
  <c r="F271" i="1" s="1"/>
  <c r="C120" i="2"/>
  <c r="E8" i="13"/>
  <c r="C8" i="13" s="1"/>
  <c r="D7" i="13"/>
  <c r="C7" i="13" s="1"/>
  <c r="C119" i="2"/>
  <c r="L247" i="1"/>
  <c r="H660" i="1" s="1"/>
  <c r="H664" i="1" s="1"/>
  <c r="H667" i="1" s="1"/>
  <c r="D15" i="13"/>
  <c r="C15" i="13" s="1"/>
  <c r="C124" i="2"/>
  <c r="H662" i="1"/>
  <c r="I662" i="1" s="1"/>
  <c r="C21" i="10"/>
  <c r="C10" i="10"/>
  <c r="C109" i="2"/>
  <c r="C115" i="2" s="1"/>
  <c r="L211" i="1"/>
  <c r="F660" i="1" s="1"/>
  <c r="D5" i="13"/>
  <c r="C5" i="13" s="1"/>
  <c r="G645" i="1"/>
  <c r="J645" i="1" s="1"/>
  <c r="C81" i="2"/>
  <c r="C104" i="2" s="1"/>
  <c r="C62" i="2"/>
  <c r="C63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67" i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8" i="1"/>
  <c r="J648" i="1" s="1"/>
  <c r="J652" i="1"/>
  <c r="G571" i="1"/>
  <c r="I434" i="1"/>
  <c r="G434" i="1"/>
  <c r="I663" i="1"/>
  <c r="C27" i="10"/>
  <c r="L545" i="1" l="1"/>
  <c r="L408" i="1"/>
  <c r="G637" i="1" s="1"/>
  <c r="J637" i="1" s="1"/>
  <c r="C141" i="2"/>
  <c r="C144" i="2" s="1"/>
  <c r="E104" i="2"/>
  <c r="K552" i="1"/>
  <c r="H646" i="1"/>
  <c r="E33" i="13"/>
  <c r="D35" i="13" s="1"/>
  <c r="C128" i="2"/>
  <c r="C28" i="10"/>
  <c r="D19" i="10" s="1"/>
  <c r="F664" i="1"/>
  <c r="I660" i="1"/>
  <c r="I664" i="1" s="1"/>
  <c r="I672" i="1" s="1"/>
  <c r="C7" i="10" s="1"/>
  <c r="L257" i="1"/>
  <c r="L271" i="1" s="1"/>
  <c r="G632" i="1" s="1"/>
  <c r="J632" i="1" s="1"/>
  <c r="G104" i="2"/>
  <c r="H672" i="1"/>
  <c r="C6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C145" i="2" l="1"/>
  <c r="D11" i="10"/>
  <c r="D12" i="10"/>
  <c r="D22" i="10"/>
  <c r="D18" i="10"/>
  <c r="D27" i="10"/>
  <c r="D17" i="10"/>
  <c r="D24" i="10"/>
  <c r="D13" i="10"/>
  <c r="D21" i="10"/>
  <c r="D10" i="10"/>
  <c r="D26" i="10"/>
  <c r="C30" i="10"/>
  <c r="D16" i="10"/>
  <c r="D23" i="10"/>
  <c r="D20" i="10"/>
  <c r="D15" i="10"/>
  <c r="D25" i="10"/>
  <c r="F672" i="1"/>
  <c r="C4" i="10" s="1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<sst xmlns="http://schemas.openxmlformats.org/spreadsheetml/2006/main" count="3955" uniqueCount="912">
  <si>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</si>
  <si>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</si>
  <si>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</si>
  <si>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</si>
  <si>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</si>
  <si>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</si>
  <si>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</si>
  <si>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</si>
  <si>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</si>
  <si>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</si>
  <si>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</si>
  <si>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</si>
  <si>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</si>
  <si>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</si>
  <si>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</si>
  <si>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</si>
  <si>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</si>
  <si>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</si>
  <si>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</si>
  <si>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</si>
  <si>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</si>
  <si>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</si>
  <si>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</si>
  <si>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</si>
  <si>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</si>
  <si>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</si>
  <si>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</si>
  <si>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</si>
  <si>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</si>
  <si>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</si>
  <si>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</si>
  <si>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</si>
  <si>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</si>
  <si>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</si>
  <si>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</si>
  <si>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</si>
  <si>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</si>
  <si>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</si>
  <si>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</si>
  <si>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</si>
  <si>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</si>
  <si>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</si>
  <si>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</si>
  <si>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</si>
  <si>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</si>
  <si>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</si>
  <si>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</si>
  <si>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</si>
  <si>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</si>
  <si>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</si>
  <si>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</si>
  <si>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</si>
  <si>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</si>
  <si>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</si>
  <si>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</si>
  <si>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</si>
  <si>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</si>
  <si>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</si>
  <si>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</si>
  <si>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</si>
  <si>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</si>
  <si>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</si>
  <si>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</si>
  <si>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</si>
  <si>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</si>
  <si>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</si>
  <si>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</si>
  <si>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</si>
  <si>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</si>
  <si>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</si>
  <si>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</si>
  <si>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</si>
  <si>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</si>
  <si>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</si>
  <si>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</si>
  <si>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</si>
  <si>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</si>
  <si>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</si>
  <si>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</si>
  <si>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</si>
  <si>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</si>
  <si>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</si>
  <si>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</si>
  <si>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</si>
  <si>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</si>
  <si>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</si>
  <si>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</si>
  <si>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</si>
  <si>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</si>
  <si>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</si>
  <si>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</si>
  <si>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</si>
  <si>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</si>
  <si>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</si>
  <si>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</si>
  <si>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</si>
  <si>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</si>
  <si>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</si>
  <si>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</si>
  <si>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</si>
  <si>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</si>
  <si>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</si>
  <si>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</si>
  <si>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</si>
  <si>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</si>
  <si>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</si>
  <si>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</si>
  <si>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</si>
  <si>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</si>
  <si>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</si>
  <si>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</si>
  <si>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</si>
  <si>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</si>
  <si>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</si>
  <si>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</si>
  <si>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</si>
  <si>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</si>
  <si>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</si>
  <si>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</si>
  <si>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</si>
  <si>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</si>
  <si>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</si>
  <si>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</si>
  <si>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</si>
  <si>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</si>
  <si>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</si>
  <si>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</si>
  <si>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</si>
  <si>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</si>
  <si>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</si>
  <si>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</si>
  <si>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</si>
  <si>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</si>
  <si>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</si>
  <si>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</si>
  <si>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</si>
  <si>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</si>
  <si>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</si>
  <si>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</si>
  <si>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</si>
  <si>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</si>
  <si>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</si>
  <si>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</si>
  <si>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</si>
  <si>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</si>
  <si>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</si>
  <si>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</si>
  <si>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</si>
  <si>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</si>
  <si>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</si>
  <si>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</si>
  <si>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</si>
  <si>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</si>
  <si>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</si>
  <si>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</si>
  <si>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</si>
  <si>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</si>
  <si>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</si>
  <si>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</si>
  <si>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</si>
  <si>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</si>
  <si>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</si>
  <si>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</si>
  <si>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</si>
  <si>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</si>
  <si>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</si>
  <si>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</si>
  <si>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</si>
  <si>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</si>
  <si>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</si>
  <si>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</si>
  <si>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</si>
  <si>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</si>
  <si>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</si>
  <si>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</si>
  <si>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</si>
  <si>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</si>
  <si>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</si>
  <si>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</si>
  <si>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</si>
  <si>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</si>
  <si>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</si>
  <si>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</si>
  <si>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</si>
  <si>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</si>
  <si>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</si>
  <si>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</si>
  <si>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</si>
  <si>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</si>
  <si>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</si>
  <si>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</si>
  <si>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</si>
  <si>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</si>
  <si>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</si>
  <si>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</si>
  <si>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</si>
  <si>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</si>
  <si>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</si>
  <si>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</si>
  <si>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</si>
  <si>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</si>
  <si>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</si>
  <si>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</si>
  <si>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</si>
  <si>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</si>
  <si>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</si>
  <si>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</si>
  <si>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</si>
  <si>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</si>
  <si>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</si>
  <si>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</si>
  <si>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</si>
  <si>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</si>
  <si>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</si>
  <si>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</si>
  <si>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</si>
  <si>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</si>
  <si>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</si>
  <si>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</si>
  <si>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</si>
  <si>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</si>
  <si>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</si>
  <si>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</si>
  <si>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</si>
  <si>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</si>
  <si>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</si>
  <si>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</si>
  <si>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</si>
  <si>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</si>
  <si>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</si>
  <si>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</si>
  <si>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</si>
  <si>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</si>
  <si>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</si>
  <si>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</si>
  <si>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</si>
  <si>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</si>
  <si>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</si>
  <si>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</si>
  <si>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</si>
  <si>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</si>
  <si>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</si>
  <si>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</si>
  <si>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</si>
  <si>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</si>
  <si>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</si>
  <si>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</si>
  <si>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</si>
  <si>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</si>
  <si>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</si>
  <si>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</si>
  <si>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</si>
  <si>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</si>
  <si>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</si>
  <si>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</si>
  <si>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</si>
  <si>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</si>
  <si>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</si>
  <si>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</si>
  <si>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</si>
  <si>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</si>
  <si>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</si>
  <si>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</si>
  <si>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</si>
  <si>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</si>
  <si>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</si>
  <si>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</si>
  <si>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</si>
  <si>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</si>
  <si>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</si>
  <si>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</si>
  <si>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</si>
  <si>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</si>
  <si>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</si>
  <si>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</si>
  <si>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</si>
  <si>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</si>
  <si>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</si>
  <si>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</si>
  <si>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</si>
  <si>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</si>
  <si>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</si>
  <si>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</si>
  <si>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</si>
  <si>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</si>
  <si>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</si>
  <si>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</si>
  <si>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</si>
  <si>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</si>
  <si>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</si>
  <si>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</si>
  <si>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</si>
  <si>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</si>
  <si>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</si>
  <si>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</si>
  <si>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</si>
  <si>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</si>
  <si>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</si>
  <si>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</si>
  <si>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</si>
  <si>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</si>
  <si>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</si>
  <si>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</si>
  <si>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</si>
  <si>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</si>
  <si>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</si>
  <si>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</si>
  <si>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</si>
  <si>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</si>
  <si>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</si>
  <si>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</si>
  <si>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</si>
  <si>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</si>
  <si>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</si>
  <si>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</si>
  <si>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</si>
  <si>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</si>
  <si>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</si>
  <si>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</si>
  <si>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</si>
  <si>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</si>
  <si>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</si>
  <si>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</si>
  <si>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</si>
  <si>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</si>
  <si>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</si>
  <si>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</si>
  <si>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</si>
  <si>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</si>
  <si>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</si>
  <si>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</si>
  <si>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</si>
  <si>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</si>
  <si>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</si>
  <si>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</si>
  <si>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</si>
  <si>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</si>
  <si>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</si>
  <si>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</si>
  <si>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</si>
  <si>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</si>
  <si>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</si>
  <si>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</si>
  <si>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</si>
  <si>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</si>
  <si>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</si>
  <si>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</si>
  <si>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</si>
  <si>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</si>
  <si>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</si>
  <si>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</si>
  <si>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</si>
  <si>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</si>
  <si>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</si>
  <si>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</si>
  <si>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</si>
  <si>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</si>
  <si>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</si>
  <si>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</si>
  <si>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</si>
  <si>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</si>
  <si>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</si>
  <si>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</si>
  <si>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</si>
  <si>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</si>
  <si>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</si>
  <si>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</si>
  <si>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</si>
  <si>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</si>
  <si>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</si>
  <si>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</si>
  <si>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</si>
  <si>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</si>
  <si>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</si>
  <si>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</si>
  <si>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</si>
  <si>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</si>
  <si>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</si>
  <si>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</si>
  <si>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</si>
  <si>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</si>
  <si>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</si>
  <si>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</si>
  <si>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</si>
  <si>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</si>
  <si>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</si>
  <si>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</si>
  <si>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</si>
  <si>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</si>
  <si>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</si>
  <si>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</si>
  <si>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</si>
  <si>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</si>
  <si>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</si>
  <si>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</si>
  <si>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</si>
  <si>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</si>
  <si>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</si>
  <si>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</si>
  <si>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</si>
  <si>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</si>
  <si>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</si>
  <si>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</si>
  <si>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</si>
  <si>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</si>
  <si>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</si>
  <si>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</si>
  <si>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</si>
  <si>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</si>
  <si>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</si>
  <si>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</si>
  <si>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</si>
  <si>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</si>
  <si>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</si>
  <si>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</si>
  <si>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</si>
  <si>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</si>
  <si>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</si>
  <si>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</si>
  <si>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</si>
  <si>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</si>
  <si>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</si>
  <si>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</si>
  <si>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</si>
  <si>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</si>
  <si>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</si>
  <si>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</si>
  <si>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</si>
  <si>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</si>
  <si>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</si>
  <si>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</si>
  <si>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</si>
  <si>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</si>
  <si>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</si>
  <si>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</si>
  <si>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</si>
  <si>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</si>
  <si>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</si>
  <si>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</si>
  <si>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</si>
  <si>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</si>
  <si>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</si>
  <si>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</si>
  <si>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</si>
  <si>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</si>
  <si>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</si>
  <si>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</si>
  <si>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</si>
  <si>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</si>
  <si>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</si>
  <si>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</si>
  <si>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</si>
  <si>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</si>
  <si>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</si>
  <si>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</si>
  <si>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</si>
  <si>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</si>
  <si>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</si>
  <si>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</si>
  <si>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</si>
  <si>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</si>
  <si>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</si>
  <si>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</si>
  <si>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</si>
  <si>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</si>
  <si>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</si>
  <si>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</si>
  <si>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</si>
  <si>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</si>
  <si>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</si>
  <si>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</si>
  <si>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</si>
  <si>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</si>
  <si>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</si>
  <si>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</si>
  <si>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</si>
  <si>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</si>
  <si>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</si>
  <si>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</si>
  <si>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</si>
  <si>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</si>
  <si>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</si>
  <si>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</si>
  <si>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</si>
  <si>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</si>
  <si>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</si>
  <si>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</si>
  <si>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</si>
  <si>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</si>
  <si>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</si>
  <si>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</si>
  <si>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</si>
  <si>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</si>
  <si>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</si>
  <si>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</si>
  <si>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</si>
  <si>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</si>
  <si>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</si>
  <si>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</si>
  <si>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</si>
  <si>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</si>
  <si>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</si>
  <si>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</si>
  <si>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</si>
  <si>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</si>
  <si>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</si>
  <si>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</si>
  <si>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</si>
  <si>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</si>
  <si>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</si>
  <si>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</si>
  <si>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</si>
  <si>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</si>
  <si>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</si>
  <si>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</si>
  <si>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</si>
  <si>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</si>
  <si>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</si>
  <si>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</si>
  <si>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</si>
  <si>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</si>
  <si>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</si>
  <si>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</si>
  <si>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</si>
  <si>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</si>
  <si>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</si>
  <si>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</si>
  <si>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</si>
  <si>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</si>
  <si>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</si>
  <si>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</si>
  <si>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</si>
  <si>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</si>
  <si>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</si>
  <si>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</si>
  <si>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</si>
  <si>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</si>
  <si>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</si>
  <si>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</si>
  <si>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</si>
  <si>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</si>
  <si>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</si>
  <si>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</si>
  <si>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</si>
  <si>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</si>
  <si>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</si>
  <si>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</si>
  <si>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</si>
  <si>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</si>
  <si>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</si>
  <si>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</si>
  <si>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</si>
  <si>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</si>
  <si>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</si>
  <si>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</si>
  <si>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</si>
  <si>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</si>
  <si>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</si>
  <si>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</si>
  <si>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</si>
  <si>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</si>
  <si>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</si>
  <si>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</si>
  <si>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</si>
  <si>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</si>
  <si>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</si>
  <si>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</si>
  <si>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</si>
  <si>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</si>
  <si>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</si>
  <si>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</si>
  <si>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</si>
  <si>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</si>
  <si>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</si>
  <si>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</si>
  <si>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</si>
  <si>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</si>
  <si>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</si>
  <si>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</si>
  <si>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</si>
  <si>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</si>
  <si>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</si>
  <si>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</si>
  <si>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</si>
  <si>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</si>
  <si>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</si>
  <si>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</si>
  <si>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</si>
  <si>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</si>
  <si>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</si>
  <si>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</si>
  <si>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</si>
  <si>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</si>
  <si>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</si>
  <si>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</si>
  <si>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</si>
  <si>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</si>
  <si>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</si>
  <si>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</si>
  <si>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</si>
  <si>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</si>
  <si>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</si>
  <si>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</si>
  <si>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</si>
  <si>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</si>
  <si>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</si>
  <si>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</si>
  <si>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</si>
  <si>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</si>
  <si>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</si>
  <si>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</si>
  <si>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</si>
  <si>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</si>
  <si>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</si>
  <si>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</si>
  <si>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</si>
  <si>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</si>
  <si>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</si>
  <si>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</si>
  <si>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</si>
  <si>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</si>
  <si>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</si>
  <si>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</si>
  <si>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</si>
  <si>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</si>
  <si>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</si>
  <si>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</si>
  <si>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</si>
  <si>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</si>
  <si>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</si>
  <si>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</si>
  <si>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</si>
  <si>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</si>
  <si>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</si>
  <si>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</si>
  <si>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</si>
  <si>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</si>
  <si>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</si>
  <si>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</si>
  <si>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</si>
  <si>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</si>
  <si>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</si>
  <si>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</si>
  <si>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</si>
  <si>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</si>
  <si>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</si>
  <si>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</si>
  <si>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</si>
  <si>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</si>
  <si>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</si>
  <si>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</si>
  <si>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</si>
  <si>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</si>
  <si>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</si>
  <si>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</si>
  <si>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</si>
  <si>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</si>
  <si>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</si>
  <si>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</si>
  <si>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</si>
  <si>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</si>
  <si>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</si>
  <si>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</si>
  <si>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</si>
  <si>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</si>
  <si>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</si>
  <si>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</si>
  <si>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</si>
  <si>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</si>
  <si>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</si>
  <si>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</si>
  <si>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</si>
  <si>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</si>
  <si>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</si>
  <si>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</si>
  <si>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</si>
  <si>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</si>
  <si>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</si>
  <si>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</si>
  <si>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</si>
  <si>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</si>
  <si>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</si>
  <si>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</si>
  <si>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</si>
  <si>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</si>
  <si>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</si>
  <si>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</si>
  <si>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</si>
  <si>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</si>
  <si>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</si>
  <si>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</si>
  <si>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</si>
  <si>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</si>
  <si>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</si>
  <si>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</si>
  <si>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</si>
  <si>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</si>
  <si>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</si>
  <si>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</si>
  <si>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</si>
  <si>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</si>
  <si>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</si>
  <si>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</si>
  <si>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</si>
  <si>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</si>
  <si>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</si>
  <si>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</si>
  <si>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</si>
  <si>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</si>
  <si>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</si>
  <si>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</si>
  <si>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</si>
  <si>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</si>
  <si>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</si>
  <si>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</si>
  <si>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</si>
  <si>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</si>
  <si>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</si>
  <si>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</si>
  <si>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</si>
  <si>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</si>
  <si>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</si>
  <si>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</si>
  <si>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</si>
  <si>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</si>
  <si>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</si>
  <si>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</si>
  <si>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</si>
  <si>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</si>
  <si>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</si>
  <si>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</si>
  <si>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</si>
  <si>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</si>
  <si>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</si>
  <si>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</si>
  <si>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</si>
  <si>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</si>
  <si>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</si>
  <si>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</si>
  <si>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</si>
  <si>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</si>
  <si>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</si>
  <si>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</si>
  <si>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</si>
  <si>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</si>
  <si>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</si>
  <si>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</si>
  <si>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</si>
  <si>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</si>
  <si>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</si>
  <si>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</si>
  <si>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</si>
  <si>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</si>
  <si>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</si>
  <si>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</si>
  <si>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</si>
  <si>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</si>
  <si>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</si>
  <si>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</si>
  <si>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</si>
  <si>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</si>
  <si>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</si>
  <si>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</si>
  <si>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</si>
  <si>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</si>
  <si>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</si>
  <si>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</si>
  <si>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</si>
  <si>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</si>
  <si>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</si>
  <si>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</si>
  <si>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</si>
  <si>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</si>
  <si>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</si>
  <si>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</si>
  <si>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</si>
  <si>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</si>
  <si>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</si>
  <si>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</si>
  <si>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</si>
  <si>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</si>
  <si>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</si>
  <si>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</si>
  <si>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</si>
  <si>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</si>
  <si>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</si>
  <si>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</si>
  <si>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</si>
  <si>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</si>
  <si>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</si>
  <si>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</si>
  <si>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</si>
  <si>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</si>
  <si>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</si>
  <si>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</si>
  <si>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</si>
  <si>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</si>
  <si>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</si>
  <si>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</si>
  <si>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</si>
  <si>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</si>
  <si>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</si>
  <si>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</si>
  <si>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</si>
  <si>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</si>
  <si>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</si>
  <si>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</si>
  <si>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</si>
  <si>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</si>
  <si>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</si>
  <si>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</si>
  <si>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</si>
  <si>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</si>
  <si>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</si>
  <si>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</si>
  <si>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</si>
  <si>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</si>
  <si>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</si>
  <si>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</si>
  <si>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</si>
  <si>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</si>
  <si>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</si>
  <si>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</si>
  <si>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</si>
  <si>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</si>
  <si>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</si>
  <si>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</si>
  <si>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</si>
  <si>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</si>
  <si>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</si>
  <si>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</si>
  <si>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</si>
  <si>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</si>
  <si>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</si>
  <si>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</si>
  <si>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</si>
  <si>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</si>
  <si>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</si>
  <si>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</si>
  <si>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</si>
  <si>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</si>
  <si>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</si>
  <si>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</si>
  <si>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</si>
  <si>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</si>
  <si>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</si>
  <si>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</si>
  <si>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</si>
  <si>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</si>
  <si>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</si>
  <si>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</si>
  <si>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</si>
  <si>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</si>
  <si>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</si>
  <si>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</si>
  <si>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</si>
  <si>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</si>
  <si>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</si>
  <si>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</si>
  <si>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</si>
  <si>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</si>
  <si>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</si>
  <si>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</si>
  <si>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</si>
  <si>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</si>
  <si>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</si>
  <si>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</si>
  <si>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</si>
  <si>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</si>
  <si>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</si>
  <si>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</si>
  <si>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</si>
  <si>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</si>
  <si>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</si>
  <si>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</si>
  <si>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</si>
  <si>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</si>
  <si>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</si>
  <si>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</si>
  <si>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</si>
  <si>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</si>
  <si>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</si>
  <si>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</si>
  <si>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</si>
  <si>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</si>
  <si>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</si>
  <si>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</si>
  <si>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</si>
  <si>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</si>
  <si>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</si>
  <si>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</si>
  <si>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</si>
  <si>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</si>
  <si>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</si>
  <si>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</si>
  <si>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</si>
  <si>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</si>
  <si>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</si>
  <si>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</si>
  <si>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</si>
  <si>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</si>
  <si>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</si>
  <si>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</si>
  <si>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</si>
  <si>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</si>
  <si>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</si>
  <si>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</si>
  <si>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</si>
  <si>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</si>
  <si>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</si>
  <si>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</si>
  <si>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STRATFORD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</si>
</sst>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80" zoomScaleNormal="80" workbookViewId="0">
      <pane xSplit="5" ySplit="3" topLeftCell="F21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509</v>
      </c>
      <c r="C2" s="21">
        <v>509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102074.76+101025.92</f>
        <v>203100.68</v>
      </c>
      <c r="G9" s="18"/>
      <c r="H9" s="18"/>
      <c r="I9" s="18"/>
      <c r="J9" s="67">
        <f>SUM(I439)</f>
        <v>362090.15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2489.2+23372.44</f>
        <v>25861.64</v>
      </c>
      <c r="G12" s="18">
        <v>0</v>
      </c>
      <c r="H12" s="18">
        <v>0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1111.8599999999999</v>
      </c>
      <c r="G14" s="18">
        <v>2489.1999999999998</v>
      </c>
      <c r="H14" s="18">
        <v>23372.44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230074.18</v>
      </c>
      <c r="G19" s="41">
        <f>SUM(G9:G18)</f>
        <v>2489.1999999999998</v>
      </c>
      <c r="H19" s="41">
        <f>SUM(H9:H18)</f>
        <v>23372.44</v>
      </c>
      <c r="I19" s="41">
        <f>SUM(I9:I18)</f>
        <v>0</v>
      </c>
      <c r="J19" s="41">
        <f>SUM(J9:J18)</f>
        <v>362090.15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2489.1999999999998</v>
      </c>
      <c r="H22" s="18">
        <v>23372.44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51453.33</v>
      </c>
      <c r="G25" s="145">
        <v>0</v>
      </c>
      <c r="H25" s="18">
        <v>0</v>
      </c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51453.33</v>
      </c>
      <c r="G32" s="41">
        <f>SUM(G22:G31)</f>
        <v>2489.1999999999998</v>
      </c>
      <c r="H32" s="41">
        <f>SUM(H22:H31)</f>
        <v>23372.44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362090.15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24107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154513.85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178620.85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362090.15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230074.18</v>
      </c>
      <c r="G52" s="41">
        <f>G51+G32</f>
        <v>2489.1999999999998</v>
      </c>
      <c r="H52" s="41">
        <f>H51+H32</f>
        <v>23372.44</v>
      </c>
      <c r="I52" s="41">
        <f>I51+I32</f>
        <v>0</v>
      </c>
      <c r="J52" s="41">
        <f>J51+J32</f>
        <v>362090.15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861634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861634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72430.100000000006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72430.100000000006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618.69000000000005</v>
      </c>
      <c r="G96" s="18"/>
      <c r="H96" s="18"/>
      <c r="I96" s="18"/>
      <c r="J96" s="18">
        <v>89.87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10400.06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26848.69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27467.379999999997</v>
      </c>
      <c r="G111" s="41">
        <f>SUM(G96:G110)</f>
        <v>10400.06</v>
      </c>
      <c r="H111" s="41">
        <f>SUM(H96:H110)</f>
        <v>0</v>
      </c>
      <c r="I111" s="41">
        <f>SUM(I96:I110)</f>
        <v>0</v>
      </c>
      <c r="J111" s="41">
        <f>SUM(J96:J110)</f>
        <v>89.87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961531.48</v>
      </c>
      <c r="G112" s="41">
        <f>G60+G111</f>
        <v>10400.06</v>
      </c>
      <c r="H112" s="41">
        <f>H60+H79+H94+H111</f>
        <v>0</v>
      </c>
      <c r="I112" s="41">
        <f>I60+I111</f>
        <v>0</v>
      </c>
      <c r="J112" s="41">
        <f>J60+J111</f>
        <v>89.87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869694.54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102643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972337.54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604.86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604.86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972337.54</v>
      </c>
      <c r="G140" s="41">
        <f>G121+SUM(G136:G137)</f>
        <v>604.86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106672.6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28775.85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33057.46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33013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10271.01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43284.01</v>
      </c>
      <c r="G162" s="41">
        <f>SUM(G150:G161)</f>
        <v>33057.46</v>
      </c>
      <c r="H162" s="41">
        <f>SUM(H150:H161)</f>
        <v>135448.45000000001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43284.01</v>
      </c>
      <c r="G169" s="41">
        <f>G147+G162+SUM(G163:G168)</f>
        <v>33057.46</v>
      </c>
      <c r="H169" s="41">
        <f>H147+H162+SUM(H163:H168)</f>
        <v>135448.45000000001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9755.33</v>
      </c>
      <c r="H179" s="18"/>
      <c r="I179" s="18"/>
      <c r="J179" s="18">
        <v>25000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9755.33</v>
      </c>
      <c r="H183" s="41">
        <f>SUM(H179:H182)</f>
        <v>0</v>
      </c>
      <c r="I183" s="41">
        <f>SUM(I179:I182)</f>
        <v>0</v>
      </c>
      <c r="J183" s="41">
        <f>SUM(J179:J182)</f>
        <v>25000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25000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25000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25000</v>
      </c>
      <c r="G192" s="41">
        <f>G183+SUM(G188:G191)</f>
        <v>9755.33</v>
      </c>
      <c r="H192" s="41">
        <f>+H183+SUM(H188:H191)</f>
        <v>0</v>
      </c>
      <c r="I192" s="41">
        <f>I177+I183+SUM(I188:I191)</f>
        <v>0</v>
      </c>
      <c r="J192" s="41">
        <f>J183</f>
        <v>25000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2002153.03</v>
      </c>
      <c r="G193" s="47">
        <f>G112+G140+G169+G192</f>
        <v>53817.71</v>
      </c>
      <c r="H193" s="47">
        <f>H112+H140+H169+H192</f>
        <v>135448.45000000001</v>
      </c>
      <c r="I193" s="47">
        <f>I112+I140+I169+I192</f>
        <v>0</v>
      </c>
      <c r="J193" s="47">
        <f>J112+J140+J192</f>
        <v>25089.87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325921.58+19500+4844.26+500</f>
        <v>350765.84</v>
      </c>
      <c r="G197" s="18">
        <f>38.25+70.8+43301.96+1095.19+1602.03+26795.45+35468.25+9570.14</f>
        <v>117942.07</v>
      </c>
      <c r="H197" s="18">
        <f>578.61+2737.86+371.03</f>
        <v>3687.5</v>
      </c>
      <c r="I197" s="18">
        <f>2477.4+141.75+163.37+415.51+107.86+279.55+389+494.93+405.76+463+369.69+1.3+245.91+339.25+914.3+703.11+593.69+300.33+98.83+99.68+198.99+100+690.66+101.3+75+53.98+797.25+250+27.12+615.37+0.05+186.55</f>
        <v>12100.489999999998</v>
      </c>
      <c r="J197" s="18">
        <f>16460.01-103.28</f>
        <v>16356.729999999998</v>
      </c>
      <c r="K197" s="18">
        <v>730.54</v>
      </c>
      <c r="L197" s="19">
        <f>SUM(F197:K197)</f>
        <v>501583.17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34750+15975.76+5751</f>
        <v>56476.76</v>
      </c>
      <c r="G198" s="18">
        <f>6765.96+277.58+215.76+4320.46+4920.46+2028.19</f>
        <v>18528.41</v>
      </c>
      <c r="H198" s="18">
        <f>50+22523.16+7135.57+13764+1390.4</f>
        <v>44863.13</v>
      </c>
      <c r="I198" s="18">
        <f>344.34+392.05+70</f>
        <v>806.39</v>
      </c>
      <c r="J198" s="18" t="s">
        <v>287</v>
      </c>
      <c r="K198" s="18"/>
      <c r="L198" s="19">
        <f>SUM(F198:K198)</f>
        <v>120674.68999999999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1720</f>
        <v>1720</v>
      </c>
      <c r="G200" s="18">
        <f>131.59+158.59</f>
        <v>290.18</v>
      </c>
      <c r="H200" s="18"/>
      <c r="I200" s="18">
        <f>250+210</f>
        <v>460</v>
      </c>
      <c r="J200" s="18"/>
      <c r="K200" s="18">
        <f>35</f>
        <v>35</v>
      </c>
      <c r="L200" s="19">
        <f>SUM(F200:K200)</f>
        <v>2505.1800000000003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3454</f>
        <v>3454</v>
      </c>
      <c r="G202" s="18">
        <f>264.22</f>
        <v>264.22000000000003</v>
      </c>
      <c r="H202" s="18">
        <f>7021.74+43816.9</f>
        <v>50838.64</v>
      </c>
      <c r="I202" s="18">
        <f>93.82+187.46+137.23</f>
        <v>418.51</v>
      </c>
      <c r="J202" s="18"/>
      <c r="K202" s="18"/>
      <c r="L202" s="19">
        <f t="shared" ref="L202:L208" si="0">SUM(F202:K202)</f>
        <v>54975.37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15543.2+15543.3+4354.5</f>
        <v>35441</v>
      </c>
      <c r="G203" s="18">
        <f>1188.96+1014.09+1522.32+1014.09</f>
        <v>4739.46</v>
      </c>
      <c r="H203" s="18">
        <f>880+583.52+299.46+7744.14+60.39+200</f>
        <v>9767.51</v>
      </c>
      <c r="I203" s="18">
        <f>125.9+684.44+2618.09</f>
        <v>3428.4300000000003</v>
      </c>
      <c r="J203" s="18">
        <f>200</f>
        <v>200</v>
      </c>
      <c r="K203" s="18">
        <f>351</f>
        <v>351</v>
      </c>
      <c r="L203" s="19">
        <f t="shared" si="0"/>
        <v>53927.4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1743</v>
      </c>
      <c r="G204" s="18">
        <v>133</v>
      </c>
      <c r="H204" s="18">
        <v>98654</v>
      </c>
      <c r="I204" s="18">
        <v>780</v>
      </c>
      <c r="J204" s="18"/>
      <c r="K204" s="18">
        <v>2174</v>
      </c>
      <c r="L204" s="19">
        <f t="shared" si="0"/>
        <v>103484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57937.5+26825.25</f>
        <v>84762.75</v>
      </c>
      <c r="G205" s="18">
        <f>12186.62+231.45+317.87+6488.14+2889.16+8203.98+2049.92</f>
        <v>32367.14</v>
      </c>
      <c r="H205" s="18">
        <f>601.65+26783.35+542.55</f>
        <v>27927.55</v>
      </c>
      <c r="I205" s="18">
        <f>942.2+6816.45+90.57</f>
        <v>7849.2199999999993</v>
      </c>
      <c r="J205" s="18"/>
      <c r="K205" s="18">
        <f>3485.25+522.95</f>
        <v>4008.2</v>
      </c>
      <c r="L205" s="19">
        <f t="shared" si="0"/>
        <v>156914.86000000002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45593.6+3328</f>
        <v>48921.599999999999</v>
      </c>
      <c r="G207" s="18">
        <f>17639.04+3726.37+3230.24+2158.57</f>
        <v>26754.22</v>
      </c>
      <c r="H207" s="18">
        <f>18907.2+4492+5000+36835.15+5326-189.27</f>
        <v>70371.08</v>
      </c>
      <c r="I207" s="18">
        <f>14752.2+14382.03+664.58+55029.32</f>
        <v>84828.13</v>
      </c>
      <c r="J207" s="18">
        <f>405.77+1225.59</f>
        <v>1631.36</v>
      </c>
      <c r="K207" s="18"/>
      <c r="L207" s="19">
        <f t="shared" si="0"/>
        <v>232506.39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47330.2+1381.34+182.07+5021.49</f>
        <v>53915.099999999991</v>
      </c>
      <c r="I208" s="18"/>
      <c r="J208" s="18"/>
      <c r="K208" s="18"/>
      <c r="L208" s="19">
        <f t="shared" si="0"/>
        <v>53915.099999999991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583284.95000000007</v>
      </c>
      <c r="G211" s="41">
        <f t="shared" si="1"/>
        <v>201018.69999999998</v>
      </c>
      <c r="H211" s="41">
        <f t="shared" si="1"/>
        <v>360024.50999999995</v>
      </c>
      <c r="I211" s="41">
        <f t="shared" si="1"/>
        <v>110671.17000000001</v>
      </c>
      <c r="J211" s="41">
        <f t="shared" si="1"/>
        <v>18188.089999999997</v>
      </c>
      <c r="K211" s="41">
        <f t="shared" si="1"/>
        <v>7298.74</v>
      </c>
      <c r="L211" s="41">
        <f t="shared" si="1"/>
        <v>1280486.1600000001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392647.81+29896.2</f>
        <v>422544.01</v>
      </c>
      <c r="I233" s="18"/>
      <c r="J233" s="18"/>
      <c r="K233" s="18"/>
      <c r="L233" s="19">
        <f>SUM(F233:K233)</f>
        <v>422544.01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51175.73+10229.5</f>
        <v>61405.23</v>
      </c>
      <c r="I234" s="18"/>
      <c r="J234" s="18"/>
      <c r="K234" s="18"/>
      <c r="L234" s="19">
        <f>SUM(F234:K234)</f>
        <v>61405.23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492</v>
      </c>
      <c r="G240" s="18">
        <v>38</v>
      </c>
      <c r="H240" s="18">
        <f>1+27825.76</f>
        <v>27826.76</v>
      </c>
      <c r="I240" s="18">
        <v>220</v>
      </c>
      <c r="J240" s="18"/>
      <c r="K240" s="18">
        <v>613.26</v>
      </c>
      <c r="L240" s="19">
        <f t="shared" si="4"/>
        <v>29190.019999999997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47330.2+155.43</f>
        <v>47485.63</v>
      </c>
      <c r="I244" s="18"/>
      <c r="J244" s="18"/>
      <c r="K244" s="18"/>
      <c r="L244" s="19">
        <f t="shared" si="4"/>
        <v>47485.63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492</v>
      </c>
      <c r="G247" s="41">
        <f t="shared" si="5"/>
        <v>38</v>
      </c>
      <c r="H247" s="41">
        <f t="shared" si="5"/>
        <v>559261.63</v>
      </c>
      <c r="I247" s="41">
        <f t="shared" si="5"/>
        <v>220</v>
      </c>
      <c r="J247" s="41">
        <f t="shared" si="5"/>
        <v>0</v>
      </c>
      <c r="K247" s="41">
        <f t="shared" si="5"/>
        <v>613.26</v>
      </c>
      <c r="L247" s="41">
        <f t="shared" si="5"/>
        <v>560624.89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v>62985</v>
      </c>
      <c r="K255" s="18"/>
      <c r="L255" s="19">
        <f t="shared" si="6"/>
        <v>62985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62985</v>
      </c>
      <c r="K256" s="41">
        <f t="shared" si="7"/>
        <v>0</v>
      </c>
      <c r="L256" s="41">
        <f>SUM(F256:K256)</f>
        <v>62985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583776.95000000007</v>
      </c>
      <c r="G257" s="41">
        <f t="shared" si="8"/>
        <v>201056.69999999998</v>
      </c>
      <c r="H257" s="41">
        <f t="shared" si="8"/>
        <v>919286.1399999999</v>
      </c>
      <c r="I257" s="41">
        <f t="shared" si="8"/>
        <v>110891.17000000001</v>
      </c>
      <c r="J257" s="41">
        <f t="shared" si="8"/>
        <v>81173.09</v>
      </c>
      <c r="K257" s="41">
        <f t="shared" si="8"/>
        <v>7912</v>
      </c>
      <c r="L257" s="41">
        <f t="shared" si="8"/>
        <v>1904096.0500000003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9755.33</v>
      </c>
      <c r="L263" s="19">
        <f>SUM(F263:K263)</f>
        <v>9755.33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25000</v>
      </c>
      <c r="L266" s="19">
        <f t="shared" si="9"/>
        <v>25000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34755.33</v>
      </c>
      <c r="L270" s="41">
        <f t="shared" si="9"/>
        <v>34755.33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583776.95000000007</v>
      </c>
      <c r="G271" s="42">
        <f t="shared" si="11"/>
        <v>201056.69999999998</v>
      </c>
      <c r="H271" s="42">
        <f t="shared" si="11"/>
        <v>919286.1399999999</v>
      </c>
      <c r="I271" s="42">
        <f t="shared" si="11"/>
        <v>110891.17000000001</v>
      </c>
      <c r="J271" s="42">
        <f t="shared" si="11"/>
        <v>81173.09</v>
      </c>
      <c r="K271" s="42">
        <f t="shared" si="11"/>
        <v>42667.33</v>
      </c>
      <c r="L271" s="42">
        <f t="shared" si="11"/>
        <v>1938851.3800000004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84882.87</v>
      </c>
      <c r="G276" s="18">
        <f>6292.22+335.87+250.73+6493.7+53.85+8988.03</f>
        <v>22414.400000000001</v>
      </c>
      <c r="H276" s="18">
        <f>5453+831.5+3783.16+4215.72</f>
        <v>14283.380000000001</v>
      </c>
      <c r="I276" s="18">
        <f>432+1569.89+2279.93</f>
        <v>4281.82</v>
      </c>
      <c r="J276" s="18">
        <v>9510.98</v>
      </c>
      <c r="K276" s="18"/>
      <c r="L276" s="19">
        <f>SUM(F276:K276)</f>
        <v>135373.45000000001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75</v>
      </c>
      <c r="I287" s="18"/>
      <c r="J287" s="18"/>
      <c r="K287" s="18"/>
      <c r="L287" s="19">
        <f t="shared" si="12"/>
        <v>75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84882.87</v>
      </c>
      <c r="G290" s="42">
        <f t="shared" si="13"/>
        <v>22414.400000000001</v>
      </c>
      <c r="H290" s="42">
        <f t="shared" si="13"/>
        <v>14358.380000000001</v>
      </c>
      <c r="I290" s="42">
        <f t="shared" si="13"/>
        <v>4281.82</v>
      </c>
      <c r="J290" s="42">
        <f t="shared" si="13"/>
        <v>9510.98</v>
      </c>
      <c r="K290" s="42">
        <f t="shared" si="13"/>
        <v>0</v>
      </c>
      <c r="L290" s="41">
        <f t="shared" si="13"/>
        <v>135448.45000000001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84882.87</v>
      </c>
      <c r="G338" s="41">
        <f t="shared" si="20"/>
        <v>22414.400000000001</v>
      </c>
      <c r="H338" s="41">
        <f t="shared" si="20"/>
        <v>14358.380000000001</v>
      </c>
      <c r="I338" s="41">
        <f t="shared" si="20"/>
        <v>4281.82</v>
      </c>
      <c r="J338" s="41">
        <f t="shared" si="20"/>
        <v>9510.98</v>
      </c>
      <c r="K338" s="41">
        <f t="shared" si="20"/>
        <v>0</v>
      </c>
      <c r="L338" s="41">
        <f t="shared" si="20"/>
        <v>135448.45000000001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84882.87</v>
      </c>
      <c r="G352" s="41">
        <f>G338</f>
        <v>22414.400000000001</v>
      </c>
      <c r="H352" s="41">
        <f>H338</f>
        <v>14358.380000000001</v>
      </c>
      <c r="I352" s="41">
        <f>I338</f>
        <v>4281.82</v>
      </c>
      <c r="J352" s="41">
        <f>J338</f>
        <v>9510.98</v>
      </c>
      <c r="K352" s="47">
        <f>K338+K351</f>
        <v>0</v>
      </c>
      <c r="L352" s="41">
        <f>L338+L351</f>
        <v>135448.45000000001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53327.51+490.2</f>
        <v>53817.71</v>
      </c>
      <c r="I358" s="18"/>
      <c r="J358" s="18"/>
      <c r="K358" s="18"/>
      <c r="L358" s="13">
        <f>SUM(F358:K358)</f>
        <v>53817.71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53817.71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53817.71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0</v>
      </c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0</v>
      </c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44.87</v>
      </c>
      <c r="I396" s="18"/>
      <c r="J396" s="24" t="s">
        <v>289</v>
      </c>
      <c r="K396" s="24" t="s">
        <v>289</v>
      </c>
      <c r="L396" s="56">
        <f t="shared" si="26"/>
        <v>44.87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34.5</v>
      </c>
      <c r="I397" s="18"/>
      <c r="J397" s="24" t="s">
        <v>289</v>
      </c>
      <c r="K397" s="24" t="s">
        <v>289</v>
      </c>
      <c r="L397" s="56">
        <f t="shared" si="26"/>
        <v>34.5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25000</v>
      </c>
      <c r="H398" s="18">
        <v>10.5</v>
      </c>
      <c r="I398" s="18"/>
      <c r="J398" s="24" t="s">
        <v>289</v>
      </c>
      <c r="K398" s="24" t="s">
        <v>289</v>
      </c>
      <c r="L398" s="56">
        <f t="shared" si="26"/>
        <v>25010.5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4"/>
      <c r="H399" s="4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89.87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25089.87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25000</v>
      </c>
      <c r="H408" s="47">
        <f>H393+H401+H407</f>
        <v>89.87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25089.87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362090.15</v>
      </c>
      <c r="H439" s="18"/>
      <c r="I439" s="56">
        <f t="shared" ref="I439:I445" si="33">SUM(F439:H439)</f>
        <v>362090.15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362090.15</v>
      </c>
      <c r="H446" s="13">
        <f>SUM(H439:H445)</f>
        <v>0</v>
      </c>
      <c r="I446" s="13">
        <f>SUM(I439:I445)</f>
        <v>362090.15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>
        <v>362090.15</v>
      </c>
      <c r="H456" s="18"/>
      <c r="I456" s="56">
        <f t="shared" si="34"/>
        <v>362090.15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362090.15</v>
      </c>
      <c r="H460" s="83">
        <f>SUM(H454:H459)</f>
        <v>0</v>
      </c>
      <c r="I460" s="83">
        <f>SUM(I454:I459)</f>
        <v>362090.15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362090.15</v>
      </c>
      <c r="H461" s="42">
        <f>H452+H460</f>
        <v>0</v>
      </c>
      <c r="I461" s="42">
        <f>I452+I460</f>
        <v>362090.15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115319.2</v>
      </c>
      <c r="G465" s="18"/>
      <c r="H465" s="18"/>
      <c r="I465" s="18"/>
      <c r="J465" s="18">
        <v>337000.28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2002153.03</v>
      </c>
      <c r="G468" s="18">
        <v>53817.71</v>
      </c>
      <c r="H468" s="18">
        <v>135448.45000000001</v>
      </c>
      <c r="I468" s="18"/>
      <c r="J468" s="18">
        <v>25089.87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2002153.03</v>
      </c>
      <c r="G470" s="53">
        <f>SUM(G468:G469)</f>
        <v>53817.71</v>
      </c>
      <c r="H470" s="53">
        <f>SUM(H468:H469)</f>
        <v>135448.45000000001</v>
      </c>
      <c r="I470" s="53">
        <f>SUM(I468:I469)</f>
        <v>0</v>
      </c>
      <c r="J470" s="53">
        <f>SUM(J468:J469)</f>
        <v>25089.87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1937460.98+1390.4</f>
        <v>1938851.38</v>
      </c>
      <c r="G472" s="18">
        <v>53817.71</v>
      </c>
      <c r="H472" s="18">
        <v>135448.45000000001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1938851.38</v>
      </c>
      <c r="G474" s="53">
        <f>SUM(G472:G473)</f>
        <v>53817.71</v>
      </c>
      <c r="H474" s="53">
        <f>SUM(H472:H473)</f>
        <v>135448.45000000001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178620.85000000009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362090.15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34750+15975.76</f>
        <v>50725.760000000002</v>
      </c>
      <c r="G521" s="18">
        <f>5751+6765.96+277.58+215.76+4320.46+4920.51+2028.19</f>
        <v>24279.459999999995</v>
      </c>
      <c r="H521" s="18">
        <f>50+13764</f>
        <v>13814</v>
      </c>
      <c r="I521" s="18">
        <f>344.34+392.05+70</f>
        <v>806.39</v>
      </c>
      <c r="J521" s="18"/>
      <c r="K521" s="18"/>
      <c r="L521" s="88">
        <f>SUM(F521:K521)</f>
        <v>89625.61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10229.5</v>
      </c>
      <c r="I523" s="18"/>
      <c r="J523" s="18"/>
      <c r="K523" s="18"/>
      <c r="L523" s="88">
        <f>SUM(F523:K523)</f>
        <v>10229.5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50725.760000000002</v>
      </c>
      <c r="G524" s="108">
        <f t="shared" ref="G524:L524" si="36">SUM(G521:G523)</f>
        <v>24279.459999999995</v>
      </c>
      <c r="H524" s="108">
        <f t="shared" si="36"/>
        <v>24043.5</v>
      </c>
      <c r="I524" s="108">
        <f t="shared" si="36"/>
        <v>806.39</v>
      </c>
      <c r="J524" s="108">
        <f t="shared" si="36"/>
        <v>0</v>
      </c>
      <c r="K524" s="108">
        <f t="shared" si="36"/>
        <v>0</v>
      </c>
      <c r="L524" s="89">
        <f t="shared" si="36"/>
        <v>99855.11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22523.16+7135.57+1390.4</f>
        <v>31049.13</v>
      </c>
      <c r="I526" s="18"/>
      <c r="J526" s="18"/>
      <c r="K526" s="18"/>
      <c r="L526" s="88">
        <f>SUM(F526:K526)</f>
        <v>31049.13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51175.73</v>
      </c>
      <c r="I528" s="18"/>
      <c r="J528" s="18"/>
      <c r="K528" s="18"/>
      <c r="L528" s="88">
        <f>SUM(F528:K528)</f>
        <v>51175.73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82224.86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82224.86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f>26783.55+542.55</f>
        <v>27326.1</v>
      </c>
      <c r="I531" s="18">
        <v>90.57</v>
      </c>
      <c r="J531" s="18"/>
      <c r="K531" s="18">
        <v>522.95000000000005</v>
      </c>
      <c r="L531" s="88">
        <f>SUM(F531:K531)</f>
        <v>27939.62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1</v>
      </c>
      <c r="I533" s="18"/>
      <c r="J533" s="18"/>
      <c r="K533" s="18"/>
      <c r="L533" s="88">
        <f>SUM(F533:K533)</f>
        <v>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27327.1</v>
      </c>
      <c r="I534" s="89">
        <f t="shared" si="38"/>
        <v>90.57</v>
      </c>
      <c r="J534" s="89">
        <f t="shared" si="38"/>
        <v>0</v>
      </c>
      <c r="K534" s="89">
        <f t="shared" si="38"/>
        <v>522.95000000000005</v>
      </c>
      <c r="L534" s="89">
        <f t="shared" si="38"/>
        <v>27940.62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1381.34+182.07</f>
        <v>1563.4099999999999</v>
      </c>
      <c r="I541" s="18"/>
      <c r="J541" s="18"/>
      <c r="K541" s="18"/>
      <c r="L541" s="88">
        <f>SUM(F541:K541)</f>
        <v>1563.4099999999999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155.43</v>
      </c>
      <c r="I543" s="18"/>
      <c r="J543" s="18"/>
      <c r="K543" s="18"/>
      <c r="L543" s="88">
        <f>SUM(F543:K543)</f>
        <v>155.43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1718.84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1718.84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50725.760000000002</v>
      </c>
      <c r="G545" s="89">
        <f t="shared" ref="G545:L545" si="41">G524+G529+G534+G539+G544</f>
        <v>24279.459999999995</v>
      </c>
      <c r="H545" s="89">
        <f t="shared" si="41"/>
        <v>135314.29999999999</v>
      </c>
      <c r="I545" s="89">
        <f t="shared" si="41"/>
        <v>896.96</v>
      </c>
      <c r="J545" s="89">
        <f t="shared" si="41"/>
        <v>0</v>
      </c>
      <c r="K545" s="89">
        <f t="shared" si="41"/>
        <v>522.95000000000005</v>
      </c>
      <c r="L545" s="89">
        <f t="shared" si="41"/>
        <v>211739.43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89625.61</v>
      </c>
      <c r="G549" s="87">
        <f>L526</f>
        <v>31049.13</v>
      </c>
      <c r="H549" s="87">
        <f>L531</f>
        <v>27939.62</v>
      </c>
      <c r="I549" s="87">
        <f>L536</f>
        <v>0</v>
      </c>
      <c r="J549" s="87">
        <f>L541</f>
        <v>1563.4099999999999</v>
      </c>
      <c r="K549" s="87">
        <f>SUM(F549:J549)</f>
        <v>150177.77000000002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10229.5</v>
      </c>
      <c r="G551" s="87">
        <f>L528</f>
        <v>51175.73</v>
      </c>
      <c r="H551" s="87">
        <f>L533</f>
        <v>1</v>
      </c>
      <c r="I551" s="87">
        <f>L538</f>
        <v>0</v>
      </c>
      <c r="J551" s="87">
        <f>L543</f>
        <v>155.43</v>
      </c>
      <c r="K551" s="87">
        <f>SUM(F551:J551)</f>
        <v>61561.66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99855.11</v>
      </c>
      <c r="G552" s="89">
        <f t="shared" si="42"/>
        <v>82224.86</v>
      </c>
      <c r="H552" s="89">
        <f t="shared" si="42"/>
        <v>27940.62</v>
      </c>
      <c r="I552" s="89">
        <f t="shared" si="42"/>
        <v>0</v>
      </c>
      <c r="J552" s="89">
        <f t="shared" si="42"/>
        <v>1718.84</v>
      </c>
      <c r="K552" s="89">
        <f t="shared" si="42"/>
        <v>211739.43000000002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392647.81</v>
      </c>
      <c r="I575" s="87">
        <f>SUM(F575:H575)</f>
        <v>392647.81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13764</v>
      </c>
      <c r="G579" s="18"/>
      <c r="H579" s="18"/>
      <c r="I579" s="87">
        <f t="shared" si="47"/>
        <v>13764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10229.5</v>
      </c>
      <c r="I582" s="87">
        <f t="shared" si="47"/>
        <v>10229.5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47330.2</v>
      </c>
      <c r="I591" s="18"/>
      <c r="J591" s="18">
        <v>47330.2</v>
      </c>
      <c r="K591" s="104">
        <f t="shared" ref="K591:K597" si="48">SUM(H591:J591)</f>
        <v>94660.4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1381.34+182.07</f>
        <v>1563.4099999999999</v>
      </c>
      <c r="I592" s="18"/>
      <c r="J592" s="18">
        <v>155.43</v>
      </c>
      <c r="K592" s="104">
        <f t="shared" si="48"/>
        <v>1718.84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5021.49</v>
      </c>
      <c r="I595" s="18"/>
      <c r="J595" s="18"/>
      <c r="K595" s="104">
        <f t="shared" si="48"/>
        <v>5021.49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53915.1</v>
      </c>
      <c r="I598" s="108">
        <f>SUM(I591:I597)</f>
        <v>0</v>
      </c>
      <c r="J598" s="108">
        <f>SUM(J591:J597)</f>
        <v>47485.63</v>
      </c>
      <c r="K598" s="108">
        <f>SUM(K591:K597)</f>
        <v>101400.73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27699.07</v>
      </c>
      <c r="I604" s="18"/>
      <c r="J604" s="18"/>
      <c r="K604" s="104">
        <f>SUM(H604:J604)</f>
        <v>27699.07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27699.07</v>
      </c>
      <c r="I605" s="108">
        <f>SUM(I602:I604)</f>
        <v>0</v>
      </c>
      <c r="J605" s="108">
        <f>SUM(J602:J604)</f>
        <v>0</v>
      </c>
      <c r="K605" s="108">
        <f>SUM(K602:K604)</f>
        <v>27699.07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230074.18</v>
      </c>
      <c r="H617" s="109">
        <f>SUM(F52)</f>
        <v>230074.18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2489.1999999999998</v>
      </c>
      <c r="H618" s="109">
        <f>SUM(G52)</f>
        <v>2489.1999999999998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23372.44</v>
      </c>
      <c r="H619" s="109">
        <f>SUM(H52)</f>
        <v>23372.44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362090.15</v>
      </c>
      <c r="H621" s="109">
        <f>SUM(J52)</f>
        <v>362090.15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178620.85</v>
      </c>
      <c r="H622" s="109">
        <f>F476</f>
        <v>178620.85000000009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362090.15</v>
      </c>
      <c r="H626" s="109">
        <f>J476</f>
        <v>362090.15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2002153.03</v>
      </c>
      <c r="H627" s="104">
        <f>SUM(F468)</f>
        <v>2002153.03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53817.71</v>
      </c>
      <c r="H628" s="104">
        <f>SUM(G468)</f>
        <v>53817.71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135448.45000000001</v>
      </c>
      <c r="H629" s="104">
        <f>SUM(H468)</f>
        <v>135448.45000000001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25089.87</v>
      </c>
      <c r="H631" s="104">
        <f>SUM(J468)</f>
        <v>25089.87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1938851.3800000004</v>
      </c>
      <c r="H632" s="104">
        <f>SUM(F472)</f>
        <v>1938851.38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135448.45000000001</v>
      </c>
      <c r="H633" s="104">
        <f>SUM(H472)</f>
        <v>135448.45000000001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53817.71</v>
      </c>
      <c r="H635" s="104">
        <f>SUM(G472)</f>
        <v>53817.71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25089.87</v>
      </c>
      <c r="H637" s="164">
        <f>SUM(J468)</f>
        <v>25089.87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362090.15</v>
      </c>
      <c r="H640" s="104">
        <f>SUM(G461)</f>
        <v>362090.15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362090.15</v>
      </c>
      <c r="H642" s="104">
        <f>SUM(I461)</f>
        <v>362090.15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89.87</v>
      </c>
      <c r="H644" s="104">
        <f>H408</f>
        <v>89.87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25000</v>
      </c>
      <c r="H645" s="104">
        <f>G408</f>
        <v>25000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25089.87</v>
      </c>
      <c r="H646" s="104">
        <f>L408</f>
        <v>25089.87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101400.73</v>
      </c>
      <c r="H647" s="104">
        <f>L208+L226+L244</f>
        <v>101400.72999999998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27699.07</v>
      </c>
      <c r="H648" s="104">
        <f>(J257+J338)-(J255+J336)</f>
        <v>27699.069999999992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53915.099999999991</v>
      </c>
      <c r="H649" s="104">
        <f>H598</f>
        <v>53915.1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47485.63</v>
      </c>
      <c r="H651" s="104">
        <f>J598</f>
        <v>47485.63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9755.33</v>
      </c>
      <c r="H652" s="104">
        <f>K263+K345</f>
        <v>9755.33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25000</v>
      </c>
      <c r="H655" s="104">
        <f>K266+K347</f>
        <v>25000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1469752.3200000001</v>
      </c>
      <c r="G660" s="19">
        <f>(L229+L309+L359)</f>
        <v>0</v>
      </c>
      <c r="H660" s="19">
        <f>(L247+L328+L360)</f>
        <v>560624.89</v>
      </c>
      <c r="I660" s="19">
        <f>SUM(F660:H660)</f>
        <v>2030377.21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10400.06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10400.06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53990.099999999991</v>
      </c>
      <c r="G662" s="19">
        <f>(L226+L306)-(J226+J306)</f>
        <v>0</v>
      </c>
      <c r="H662" s="19">
        <f>(L244+L325)-(J244+J325)</f>
        <v>47485.63</v>
      </c>
      <c r="I662" s="19">
        <f>SUM(F662:H662)</f>
        <v>101475.72999999998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41463.07</v>
      </c>
      <c r="G663" s="199">
        <f>SUM(G575:G587)+SUM(I602:I604)+L612</f>
        <v>0</v>
      </c>
      <c r="H663" s="199">
        <f>SUM(H575:H587)+SUM(J602:J604)+L613</f>
        <v>402877.31</v>
      </c>
      <c r="I663" s="19">
        <f>SUM(F663:H663)</f>
        <v>444340.38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1363899.09</v>
      </c>
      <c r="G664" s="19">
        <f>G660-SUM(G661:G663)</f>
        <v>0</v>
      </c>
      <c r="H664" s="19">
        <f>H660-SUM(H661:H663)</f>
        <v>110261.95000000001</v>
      </c>
      <c r="I664" s="19">
        <f>I660-SUM(I661:I663)</f>
        <v>1474161.04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68.63</v>
      </c>
      <c r="G665" s="248"/>
      <c r="H665" s="248"/>
      <c r="I665" s="19">
        <f>SUM(F665:H665)</f>
        <v>68.63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19873.22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21479.83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-110261.95</v>
      </c>
      <c r="I669" s="19">
        <f>SUM(F669:H669)</f>
        <v>-110261.95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19873.22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19873.22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STRATFORD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435648.71</v>
      </c>
      <c r="C9" s="229">
        <f>'DOE25'!G197+'DOE25'!G215+'DOE25'!G233+'DOE25'!G276+'DOE25'!G295+'DOE25'!G314</f>
        <v>140356.47</v>
      </c>
    </row>
    <row r="10" spans="1:3" x14ac:dyDescent="0.2">
      <c r="A10" t="s">
        <v>779</v>
      </c>
      <c r="B10" s="240">
        <f>325921.58+19500+84882.87+500</f>
        <v>430804.45</v>
      </c>
      <c r="C10" s="240">
        <f>43301.96+1095.19+1602.03+26795.45+35468.25+9570.14-370.59+6292.22+335.87+250.73+6493.7+53.85+8988.03+38.25+70.8</f>
        <v>139985.88</v>
      </c>
    </row>
    <row r="11" spans="1:3" x14ac:dyDescent="0.2">
      <c r="A11" t="s">
        <v>780</v>
      </c>
      <c r="B11" s="240">
        <f>4844.26</f>
        <v>4844.26</v>
      </c>
      <c r="C11" s="240">
        <f>370.59</f>
        <v>370.59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435648.71</v>
      </c>
      <c r="C13" s="231">
        <f>SUM(C10:C12)</f>
        <v>140356.47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56476.76</v>
      </c>
      <c r="C18" s="229">
        <f>'DOE25'!G198+'DOE25'!G216+'DOE25'!G234+'DOE25'!G277+'DOE25'!G296+'DOE25'!G315</f>
        <v>18528.41</v>
      </c>
    </row>
    <row r="19" spans="1:3" x14ac:dyDescent="0.2">
      <c r="A19" t="s">
        <v>779</v>
      </c>
      <c r="B19" s="240">
        <f>34750+5751</f>
        <v>40501</v>
      </c>
      <c r="C19" s="240">
        <f>6765.96+277.58+215.76+4320.46+2028.19+4920.51-1222.15-0.05</f>
        <v>17306.259999999998</v>
      </c>
    </row>
    <row r="20" spans="1:3" x14ac:dyDescent="0.2">
      <c r="A20" t="s">
        <v>780</v>
      </c>
      <c r="B20" s="240">
        <f>15975.76</f>
        <v>15975.76</v>
      </c>
      <c r="C20" s="240">
        <f>1222.15</f>
        <v>1222.1500000000001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56476.76</v>
      </c>
      <c r="C22" s="231">
        <f>SUM(C19:C21)</f>
        <v>18528.41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1720</v>
      </c>
      <c r="C36" s="235">
        <f>'DOE25'!G200+'DOE25'!G218+'DOE25'!G236+'DOE25'!G279+'DOE25'!G298+'DOE25'!G317</f>
        <v>290.18</v>
      </c>
    </row>
    <row r="37" spans="1:3" x14ac:dyDescent="0.2">
      <c r="A37" t="s">
        <v>779</v>
      </c>
      <c r="B37" s="240">
        <v>1720</v>
      </c>
      <c r="C37" s="240">
        <v>290.18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1720</v>
      </c>
      <c r="C40" s="231">
        <f>SUM(C37:C39)</f>
        <v>290.18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D33" sqref="D3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STRATFORD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1108712.28</v>
      </c>
      <c r="D5" s="20">
        <f>SUM('DOE25'!L197:L200)+SUM('DOE25'!L215:L218)+SUM('DOE25'!L233:L236)-F5-G5</f>
        <v>1091590.01</v>
      </c>
      <c r="E5" s="243"/>
      <c r="F5" s="255">
        <f>SUM('DOE25'!J197:J200)+SUM('DOE25'!J215:J218)+SUM('DOE25'!J233:J236)</f>
        <v>16356.729999999998</v>
      </c>
      <c r="G5" s="53">
        <f>SUM('DOE25'!K197:K200)+SUM('DOE25'!K215:K218)+SUM('DOE25'!K233:K236)</f>
        <v>765.54</v>
      </c>
      <c r="H5" s="259"/>
    </row>
    <row r="6" spans="1:9" x14ac:dyDescent="0.2">
      <c r="A6" s="32">
        <v>2100</v>
      </c>
      <c r="B6" t="s">
        <v>801</v>
      </c>
      <c r="C6" s="245">
        <f t="shared" si="0"/>
        <v>54975.37</v>
      </c>
      <c r="D6" s="20">
        <f>'DOE25'!L202+'DOE25'!L220+'DOE25'!L238-F6-G6</f>
        <v>54975.37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53927.4</v>
      </c>
      <c r="D7" s="20">
        <f>'DOE25'!L203+'DOE25'!L221+'DOE25'!L239-F7-G7</f>
        <v>53376.4</v>
      </c>
      <c r="E7" s="243"/>
      <c r="F7" s="255">
        <f>'DOE25'!J203+'DOE25'!J221+'DOE25'!J239</f>
        <v>200</v>
      </c>
      <c r="G7" s="53">
        <f>'DOE25'!K203+'DOE25'!K221+'DOE25'!K239</f>
        <v>351</v>
      </c>
      <c r="H7" s="259"/>
    </row>
    <row r="8" spans="1:9" x14ac:dyDescent="0.2">
      <c r="A8" s="32">
        <v>2300</v>
      </c>
      <c r="B8" t="s">
        <v>802</v>
      </c>
      <c r="C8" s="245">
        <f t="shared" si="0"/>
        <v>56464.639999999992</v>
      </c>
      <c r="D8" s="243"/>
      <c r="E8" s="20">
        <f>'DOE25'!L204+'DOE25'!L222+'DOE25'!L240-F8-G8-D9-D11</f>
        <v>53677.37999999999</v>
      </c>
      <c r="F8" s="255">
        <f>'DOE25'!J204+'DOE25'!J222+'DOE25'!J240</f>
        <v>0</v>
      </c>
      <c r="G8" s="53">
        <f>'DOE25'!K204+'DOE25'!K222+'DOE25'!K240</f>
        <v>2787.26</v>
      </c>
      <c r="H8" s="259"/>
    </row>
    <row r="9" spans="1:9" x14ac:dyDescent="0.2">
      <c r="A9" s="32">
        <v>2310</v>
      </c>
      <c r="B9" t="s">
        <v>818</v>
      </c>
      <c r="C9" s="245">
        <f t="shared" si="0"/>
        <v>19719.18</v>
      </c>
      <c r="D9" s="244">
        <v>19719.18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7750</v>
      </c>
      <c r="D10" s="243"/>
      <c r="E10" s="244">
        <v>7750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56490.2</v>
      </c>
      <c r="D11" s="244">
        <v>56490.2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156914.86000000002</v>
      </c>
      <c r="D12" s="20">
        <f>'DOE25'!L205+'DOE25'!L223+'DOE25'!L241-F12-G12</f>
        <v>152906.66</v>
      </c>
      <c r="E12" s="243"/>
      <c r="F12" s="255">
        <f>'DOE25'!J205+'DOE25'!J223+'DOE25'!J241</f>
        <v>0</v>
      </c>
      <c r="G12" s="53">
        <f>'DOE25'!K205+'DOE25'!K223+'DOE25'!K241</f>
        <v>4008.2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232506.39</v>
      </c>
      <c r="D14" s="20">
        <f>'DOE25'!L207+'DOE25'!L225+'DOE25'!L243-F14-G14</f>
        <v>230875.03000000003</v>
      </c>
      <c r="E14" s="243"/>
      <c r="F14" s="255">
        <f>'DOE25'!J207+'DOE25'!J225+'DOE25'!J243</f>
        <v>1631.36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101400.72999999998</v>
      </c>
      <c r="D15" s="20">
        <f>'DOE25'!L208+'DOE25'!L226+'DOE25'!L244-F15-G15</f>
        <v>101400.72999999998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62985</v>
      </c>
      <c r="D22" s="243"/>
      <c r="E22" s="243"/>
      <c r="F22" s="255">
        <f>'DOE25'!L255+'DOE25'!L336</f>
        <v>62985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53817.71</v>
      </c>
      <c r="D29" s="20">
        <f>'DOE25'!L358+'DOE25'!L359+'DOE25'!L360-'DOE25'!I367-F29-G29</f>
        <v>53817.71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135448.45000000001</v>
      </c>
      <c r="D31" s="20">
        <f>'DOE25'!L290+'DOE25'!L309+'DOE25'!L328+'DOE25'!L333+'DOE25'!L334+'DOE25'!L335-F31-G31</f>
        <v>125937.47000000002</v>
      </c>
      <c r="E31" s="243"/>
      <c r="F31" s="255">
        <f>'DOE25'!J290+'DOE25'!J309+'DOE25'!J328+'DOE25'!J333+'DOE25'!J334+'DOE25'!J335</f>
        <v>9510.98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1941088.7599999998</v>
      </c>
      <c r="E33" s="246">
        <f>SUM(E5:E31)</f>
        <v>61427.37999999999</v>
      </c>
      <c r="F33" s="246">
        <f>SUM(F5:F31)</f>
        <v>90684.069999999992</v>
      </c>
      <c r="G33" s="246">
        <f>SUM(G5:G31)</f>
        <v>7912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61427.37999999999</v>
      </c>
      <c r="E35" s="249"/>
    </row>
    <row r="36" spans="2:8" ht="12" thickTop="1" x14ac:dyDescent="0.2">
      <c r="B36" t="s">
        <v>815</v>
      </c>
      <c r="D36" s="20">
        <f>D33</f>
        <v>1941088.7599999998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STRATFORD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203100.68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362090.15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25861.64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1111.8599999999999</v>
      </c>
      <c r="D13" s="95">
        <f>'DOE25'!G14</f>
        <v>2489.1999999999998</v>
      </c>
      <c r="E13" s="95">
        <f>'DOE25'!H14</f>
        <v>23372.44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230074.18</v>
      </c>
      <c r="D18" s="41">
        <f>SUM(D8:D17)</f>
        <v>2489.1999999999998</v>
      </c>
      <c r="E18" s="41">
        <f>SUM(E8:E17)</f>
        <v>23372.44</v>
      </c>
      <c r="F18" s="41">
        <f>SUM(F8:F17)</f>
        <v>0</v>
      </c>
      <c r="G18" s="41">
        <f>SUM(G8:G17)</f>
        <v>362090.15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2489.1999999999998</v>
      </c>
      <c r="E21" s="95">
        <f>'DOE25'!H22</f>
        <v>23372.44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51453.33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51453.33</v>
      </c>
      <c r="D31" s="41">
        <f>SUM(D21:D30)</f>
        <v>2489.1999999999998</v>
      </c>
      <c r="E31" s="41">
        <f>SUM(E21:E30)</f>
        <v>23372.44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362090.15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24107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154513.85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178620.85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362090.15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230074.18</v>
      </c>
      <c r="D51" s="41">
        <f>D50+D31</f>
        <v>2489.1999999999998</v>
      </c>
      <c r="E51" s="41">
        <f>E50+E31</f>
        <v>23372.44</v>
      </c>
      <c r="F51" s="41">
        <f>F50+F31</f>
        <v>0</v>
      </c>
      <c r="G51" s="41">
        <f>G50+G31</f>
        <v>362090.15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861634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72430.100000000006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618.69000000000005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89.87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10400.06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26848.69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99897.48000000001</v>
      </c>
      <c r="D62" s="130">
        <f>SUM(D57:D61)</f>
        <v>10400.06</v>
      </c>
      <c r="E62" s="130">
        <f>SUM(E57:E61)</f>
        <v>0</v>
      </c>
      <c r="F62" s="130">
        <f>SUM(F57:F61)</f>
        <v>0</v>
      </c>
      <c r="G62" s="130">
        <f>SUM(G57:G61)</f>
        <v>89.87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961531.48</v>
      </c>
      <c r="D63" s="22">
        <f>D56+D62</f>
        <v>10400.06</v>
      </c>
      <c r="E63" s="22">
        <f>E56+E62</f>
        <v>0</v>
      </c>
      <c r="F63" s="22">
        <f>F56+F62</f>
        <v>0</v>
      </c>
      <c r="G63" s="22">
        <f>G56+G62</f>
        <v>89.87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869694.54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102643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972337.54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604.86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604.86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972337.54</v>
      </c>
      <c r="D81" s="130">
        <f>SUM(D79:D80)+D78+D70</f>
        <v>604.86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43284.01</v>
      </c>
      <c r="D88" s="95">
        <f>SUM('DOE25'!G153:G161)</f>
        <v>33057.46</v>
      </c>
      <c r="E88" s="95">
        <f>SUM('DOE25'!H153:H161)</f>
        <v>135448.45000000001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43284.01</v>
      </c>
      <c r="D91" s="131">
        <f>SUM(D85:D90)</f>
        <v>33057.46</v>
      </c>
      <c r="E91" s="131">
        <f>SUM(E85:E90)</f>
        <v>135448.45000000001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9755.33</v>
      </c>
      <c r="E96" s="95">
        <f>'DOE25'!H179</f>
        <v>0</v>
      </c>
      <c r="F96" s="95">
        <f>'DOE25'!I179</f>
        <v>0</v>
      </c>
      <c r="G96" s="95">
        <f>'DOE25'!J179</f>
        <v>25000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25000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25000</v>
      </c>
      <c r="D103" s="86">
        <f>SUM(D93:D102)</f>
        <v>9755.33</v>
      </c>
      <c r="E103" s="86">
        <f>SUM(E93:E102)</f>
        <v>0</v>
      </c>
      <c r="F103" s="86">
        <f>SUM(F93:F102)</f>
        <v>0</v>
      </c>
      <c r="G103" s="86">
        <f>SUM(G93:G102)</f>
        <v>25000</v>
      </c>
    </row>
    <row r="104" spans="1:7" ht="12.75" thickTop="1" thickBot="1" x14ac:dyDescent="0.25">
      <c r="A104" s="33" t="s">
        <v>765</v>
      </c>
      <c r="C104" s="86">
        <f>C63+C81+C91+C103</f>
        <v>2002153.03</v>
      </c>
      <c r="D104" s="86">
        <f>D63+D81+D91+D103</f>
        <v>53817.71</v>
      </c>
      <c r="E104" s="86">
        <f>E63+E81+E91+E103</f>
        <v>135448.45000000001</v>
      </c>
      <c r="F104" s="86">
        <f>F63+F81+F91+F103</f>
        <v>0</v>
      </c>
      <c r="G104" s="86">
        <f>G63+G81+G103</f>
        <v>25089.87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924127.17999999993</v>
      </c>
      <c r="D109" s="24" t="s">
        <v>289</v>
      </c>
      <c r="E109" s="95">
        <f>('DOE25'!L276)+('DOE25'!L295)+('DOE25'!L314)</f>
        <v>135373.45000000001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182079.91999999998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2505.1800000000003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1108712.2799999998</v>
      </c>
      <c r="D115" s="86">
        <f>SUM(D109:D114)</f>
        <v>0</v>
      </c>
      <c r="E115" s="86">
        <f>SUM(E109:E114)</f>
        <v>135373.45000000001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54975.37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53927.4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132674.01999999999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156914.86000000002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232506.39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101400.72999999998</v>
      </c>
      <c r="D124" s="24" t="s">
        <v>289</v>
      </c>
      <c r="E124" s="95">
        <f>+('DOE25'!L287)+('DOE25'!L306)+('DOE25'!L325)</f>
        <v>75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53817.71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732398.77</v>
      </c>
      <c r="D128" s="86">
        <f>SUM(D118:D127)</f>
        <v>53817.71</v>
      </c>
      <c r="E128" s="86">
        <f>SUM(E118:E127)</f>
        <v>75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62985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9755.33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25089.87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-89.869999999998981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97740.33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1938851.38</v>
      </c>
      <c r="D145" s="86">
        <f>(D115+D128+D144)</f>
        <v>53817.71</v>
      </c>
      <c r="E145" s="86">
        <f>(E115+E128+E144)</f>
        <v>135448.45000000001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D41" sqref="D4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STRATFORD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19873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19873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1059501</v>
      </c>
      <c r="D10" s="182">
        <f>ROUND((C10/$C$28)*100,1)</f>
        <v>52.5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182080</v>
      </c>
      <c r="D11" s="182">
        <f>ROUND((C11/$C$28)*100,1)</f>
        <v>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2505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54975</v>
      </c>
      <c r="D15" s="182">
        <f t="shared" ref="D15:D27" si="0">ROUND((C15/$C$28)*100,1)</f>
        <v>2.7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53927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132674</v>
      </c>
      <c r="D17" s="182">
        <f t="shared" si="0"/>
        <v>6.6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156915</v>
      </c>
      <c r="D18" s="182">
        <f t="shared" si="0"/>
        <v>7.8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232506</v>
      </c>
      <c r="D20" s="182">
        <f t="shared" si="0"/>
        <v>11.5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101476</v>
      </c>
      <c r="D21" s="182">
        <f t="shared" si="0"/>
        <v>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43417.94</v>
      </c>
      <c r="D27" s="182">
        <f t="shared" si="0"/>
        <v>2.1</v>
      </c>
    </row>
    <row r="28" spans="1:4" x14ac:dyDescent="0.2">
      <c r="B28" s="187" t="s">
        <v>723</v>
      </c>
      <c r="C28" s="180">
        <f>SUM(C10:C27)</f>
        <v>2019976.94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62985</v>
      </c>
    </row>
    <row r="30" spans="1:4" x14ac:dyDescent="0.2">
      <c r="B30" s="187" t="s">
        <v>729</v>
      </c>
      <c r="C30" s="180">
        <f>SUM(C28:C29)</f>
        <v>2082961.94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861634</v>
      </c>
      <c r="D35" s="182">
        <f t="shared" ref="D35:D40" si="1">ROUND((C35/$C$41)*100,1)</f>
        <v>40.1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99987.349999999977</v>
      </c>
      <c r="D36" s="182">
        <f t="shared" si="1"/>
        <v>4.7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972338</v>
      </c>
      <c r="D37" s="182">
        <f t="shared" si="1"/>
        <v>45.3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605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211790</v>
      </c>
      <c r="D39" s="182">
        <f t="shared" si="1"/>
        <v>9.9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2146354.35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STRATFORD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2014-08-04T19:25:29Z</cp:lastPrinted>
  <dcterms:created xsi:type="dcterms:W3CDTF">1997-12-04T19:04:30Z</dcterms:created>
  <dcterms:modified xsi:type="dcterms:W3CDTF">2014-08-05T12:46:33Z</dcterms:modified>
</cp:coreProperties>
</file>