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1" i="1" l="1"/>
  <c r="J592" i="1"/>
  <c r="I591" i="1"/>
  <c r="H591" i="1"/>
  <c r="F197" i="1" l="1"/>
  <c r="H243" i="1" l="1"/>
  <c r="H225" i="1"/>
  <c r="G533" i="1" l="1"/>
  <c r="G532" i="1"/>
  <c r="G531" i="1"/>
  <c r="G543" i="1" l="1"/>
  <c r="G542" i="1"/>
  <c r="G541" i="1"/>
  <c r="G526" i="1"/>
  <c r="I542" i="1"/>
  <c r="I543" i="1"/>
  <c r="I541" i="1"/>
  <c r="F543" i="1"/>
  <c r="F542" i="1"/>
  <c r="F541" i="1"/>
  <c r="I528" i="1"/>
  <c r="I527" i="1"/>
  <c r="I526" i="1"/>
  <c r="H528" i="1"/>
  <c r="H527" i="1"/>
  <c r="H526" i="1"/>
  <c r="G528" i="1"/>
  <c r="G527" i="1"/>
  <c r="F528" i="1"/>
  <c r="F527" i="1"/>
  <c r="F526" i="1"/>
  <c r="H604" i="1" l="1"/>
  <c r="F472" i="1" l="1"/>
  <c r="H205" i="1"/>
  <c r="H204" i="1"/>
  <c r="J203" i="1"/>
  <c r="H159" i="1" l="1"/>
  <c r="J314" i="1"/>
  <c r="H315" i="1"/>
  <c r="J277" i="1"/>
  <c r="J296" i="1"/>
  <c r="J315" i="1"/>
  <c r="J604" i="1" l="1"/>
  <c r="I604" i="1"/>
  <c r="H325" i="1" l="1"/>
  <c r="H314" i="1"/>
  <c r="F315" i="1"/>
  <c r="H277" i="1"/>
  <c r="H306" i="1"/>
  <c r="H296" i="1"/>
  <c r="H295" i="1"/>
  <c r="H287" i="1"/>
  <c r="H276" i="1"/>
  <c r="H207" i="1" l="1"/>
  <c r="H241" i="1"/>
  <c r="H203" i="1"/>
  <c r="H239" i="1"/>
  <c r="I239" i="1"/>
  <c r="H238" i="1"/>
  <c r="J233" i="1"/>
  <c r="I243" i="1"/>
  <c r="K241" i="1"/>
  <c r="J239" i="1"/>
  <c r="J221" i="1"/>
  <c r="G233" i="1"/>
  <c r="F215" i="1"/>
  <c r="G244" i="1" l="1"/>
  <c r="G240" i="1"/>
  <c r="G239" i="1"/>
  <c r="G226" i="1"/>
  <c r="G222" i="1"/>
  <c r="G221" i="1"/>
  <c r="G208" i="1"/>
  <c r="G204" i="1"/>
  <c r="G203" i="1"/>
  <c r="H15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E122" i="2" s="1"/>
  <c r="L286" i="1"/>
  <c r="L287" i="1"/>
  <c r="L288" i="1"/>
  <c r="L295" i="1"/>
  <c r="L296" i="1"/>
  <c r="L297" i="1"/>
  <c r="L298" i="1"/>
  <c r="E112" i="2" s="1"/>
  <c r="L300" i="1"/>
  <c r="L301" i="1"/>
  <c r="L302" i="1"/>
  <c r="L303" i="1"/>
  <c r="L304" i="1"/>
  <c r="L305" i="1"/>
  <c r="E123" i="2" s="1"/>
  <c r="L306" i="1"/>
  <c r="E124" i="2" s="1"/>
  <c r="L307" i="1"/>
  <c r="E125" i="2" s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E132" i="2" s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F169" i="1" s="1"/>
  <c r="G147" i="1"/>
  <c r="D85" i="2" s="1"/>
  <c r="G162" i="1"/>
  <c r="H147" i="1"/>
  <c r="E85" i="2" s="1"/>
  <c r="H162" i="1"/>
  <c r="H169" i="1" s="1"/>
  <c r="I147" i="1"/>
  <c r="I162" i="1"/>
  <c r="L250" i="1"/>
  <c r="C113" i="2" s="1"/>
  <c r="L332" i="1"/>
  <c r="L254" i="1"/>
  <c r="L268" i="1"/>
  <c r="L269" i="1"/>
  <c r="C143" i="2" s="1"/>
  <c r="L349" i="1"/>
  <c r="C26" i="10" s="1"/>
  <c r="L350" i="1"/>
  <c r="I665" i="1"/>
  <c r="I670" i="1"/>
  <c r="I669" i="1"/>
  <c r="C42" i="10"/>
  <c r="L374" i="1"/>
  <c r="C29" i="10" s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F78" i="2" s="1"/>
  <c r="F81" i="2" s="1"/>
  <c r="G77" i="2"/>
  <c r="G78" i="2" s="1"/>
  <c r="C79" i="2"/>
  <c r="D79" i="2"/>
  <c r="E79" i="2"/>
  <c r="C80" i="2"/>
  <c r="E80" i="2"/>
  <c r="C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3" i="2"/>
  <c r="D115" i="2"/>
  <c r="F115" i="2"/>
  <c r="G115" i="2"/>
  <c r="C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F408" i="1" s="1"/>
  <c r="H643" i="1" s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I452" i="1"/>
  <c r="F460" i="1"/>
  <c r="G460" i="1"/>
  <c r="H460" i="1"/>
  <c r="H470" i="1"/>
  <c r="I470" i="1"/>
  <c r="J470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9" i="1"/>
  <c r="H630" i="1"/>
  <c r="H631" i="1"/>
  <c r="H633" i="1"/>
  <c r="H636" i="1"/>
  <c r="H637" i="1"/>
  <c r="H638" i="1"/>
  <c r="G643" i="1"/>
  <c r="G644" i="1"/>
  <c r="G652" i="1"/>
  <c r="H652" i="1"/>
  <c r="G653" i="1"/>
  <c r="H653" i="1"/>
  <c r="G654" i="1"/>
  <c r="H654" i="1"/>
  <c r="H655" i="1"/>
  <c r="D62" i="2"/>
  <c r="C91" i="2"/>
  <c r="D19" i="13"/>
  <c r="C19" i="13" s="1"/>
  <c r="L433" i="1"/>
  <c r="I169" i="1"/>
  <c r="J140" i="1"/>
  <c r="G22" i="2"/>
  <c r="H192" i="1"/>
  <c r="G36" i="2"/>
  <c r="J655" i="1" l="1"/>
  <c r="G461" i="1"/>
  <c r="H640" i="1" s="1"/>
  <c r="H408" i="1"/>
  <c r="H644" i="1" s="1"/>
  <c r="J552" i="1"/>
  <c r="D29" i="13"/>
  <c r="C29" i="13" s="1"/>
  <c r="I369" i="1"/>
  <c r="H634" i="1" s="1"/>
  <c r="J634" i="1" s="1"/>
  <c r="J476" i="1"/>
  <c r="H626" i="1" s="1"/>
  <c r="D50" i="2"/>
  <c r="D51" i="2" s="1"/>
  <c r="E119" i="2"/>
  <c r="H338" i="1"/>
  <c r="H352" i="1" s="1"/>
  <c r="E109" i="2"/>
  <c r="J649" i="1"/>
  <c r="K598" i="1"/>
  <c r="G647" i="1" s="1"/>
  <c r="C110" i="2"/>
  <c r="I112" i="1"/>
  <c r="J644" i="1"/>
  <c r="L544" i="1"/>
  <c r="F130" i="2"/>
  <c r="F144" i="2" s="1"/>
  <c r="F145" i="2" s="1"/>
  <c r="H112" i="1"/>
  <c r="G62" i="2"/>
  <c r="G63" i="2" s="1"/>
  <c r="L401" i="1"/>
  <c r="C139" i="2" s="1"/>
  <c r="E111" i="2"/>
  <c r="E120" i="2"/>
  <c r="F661" i="1"/>
  <c r="L247" i="1"/>
  <c r="C19" i="10"/>
  <c r="C15" i="10"/>
  <c r="H571" i="1"/>
  <c r="F662" i="1"/>
  <c r="E62" i="2"/>
  <c r="L393" i="1"/>
  <c r="C138" i="2" s="1"/>
  <c r="E114" i="2"/>
  <c r="L309" i="1"/>
  <c r="E118" i="2"/>
  <c r="C122" i="2"/>
  <c r="L328" i="1"/>
  <c r="G156" i="2"/>
  <c r="L270" i="1"/>
  <c r="C111" i="2"/>
  <c r="K550" i="1"/>
  <c r="F112" i="1"/>
  <c r="L524" i="1"/>
  <c r="H461" i="1"/>
  <c r="H641" i="1" s="1"/>
  <c r="J641" i="1" s="1"/>
  <c r="L256" i="1"/>
  <c r="G157" i="2"/>
  <c r="C118" i="2"/>
  <c r="D81" i="2"/>
  <c r="C70" i="2"/>
  <c r="C81" i="2" s="1"/>
  <c r="D31" i="2"/>
  <c r="C132" i="2"/>
  <c r="F192" i="1"/>
  <c r="I545" i="1"/>
  <c r="G408" i="1"/>
  <c r="H645" i="1" s="1"/>
  <c r="I552" i="1"/>
  <c r="C114" i="2"/>
  <c r="G625" i="1"/>
  <c r="L570" i="1"/>
  <c r="I476" i="1"/>
  <c r="H625" i="1" s="1"/>
  <c r="F461" i="1"/>
  <c r="H639" i="1" s="1"/>
  <c r="J639" i="1" s="1"/>
  <c r="L351" i="1"/>
  <c r="C32" i="10"/>
  <c r="D12" i="13"/>
  <c r="C12" i="13" s="1"/>
  <c r="E8" i="13"/>
  <c r="C8" i="13" s="1"/>
  <c r="C35" i="10"/>
  <c r="C36" i="10" s="1"/>
  <c r="E13" i="13"/>
  <c r="C13" i="13" s="1"/>
  <c r="D63" i="2"/>
  <c r="L382" i="1"/>
  <c r="G636" i="1" s="1"/>
  <c r="J636" i="1" s="1"/>
  <c r="E56" i="2"/>
  <c r="F571" i="1"/>
  <c r="L290" i="1"/>
  <c r="J643" i="1"/>
  <c r="K338" i="1"/>
  <c r="K352" i="1" s="1"/>
  <c r="H25" i="13"/>
  <c r="C25" i="13" s="1"/>
  <c r="D17" i="13"/>
  <c r="C17" i="13" s="1"/>
  <c r="L539" i="1"/>
  <c r="K503" i="1"/>
  <c r="E142" i="2"/>
  <c r="G81" i="2"/>
  <c r="G112" i="1"/>
  <c r="L534" i="1"/>
  <c r="D15" i="13"/>
  <c r="C15" i="13" s="1"/>
  <c r="G192" i="1"/>
  <c r="G661" i="1"/>
  <c r="A13" i="12"/>
  <c r="L614" i="1"/>
  <c r="I460" i="1"/>
  <c r="I461" i="1" s="1"/>
  <c r="H642" i="1" s="1"/>
  <c r="I446" i="1"/>
  <c r="G642" i="1" s="1"/>
  <c r="D127" i="2"/>
  <c r="D128" i="2" s="1"/>
  <c r="D145" i="2" s="1"/>
  <c r="K605" i="1"/>
  <c r="G648" i="1" s="1"/>
  <c r="K571" i="1"/>
  <c r="I571" i="1"/>
  <c r="L560" i="1"/>
  <c r="L571" i="1" s="1"/>
  <c r="H476" i="1"/>
  <c r="H624" i="1" s="1"/>
  <c r="J624" i="1" s="1"/>
  <c r="L419" i="1"/>
  <c r="L434" i="1" s="1"/>
  <c r="G638" i="1" s="1"/>
  <c r="J638" i="1" s="1"/>
  <c r="G164" i="2"/>
  <c r="G161" i="2"/>
  <c r="J640" i="1"/>
  <c r="C123" i="2"/>
  <c r="C13" i="10"/>
  <c r="C112" i="2"/>
  <c r="L211" i="1"/>
  <c r="C78" i="2"/>
  <c r="E31" i="2"/>
  <c r="F18" i="2"/>
  <c r="A40" i="12"/>
  <c r="H662" i="1"/>
  <c r="C109" i="2"/>
  <c r="K545" i="1"/>
  <c r="G338" i="1"/>
  <c r="G352" i="1" s="1"/>
  <c r="J257" i="1"/>
  <c r="J271" i="1" s="1"/>
  <c r="J545" i="1"/>
  <c r="H545" i="1"/>
  <c r="K500" i="1"/>
  <c r="F338" i="1"/>
  <c r="F352" i="1" s="1"/>
  <c r="D91" i="2"/>
  <c r="D18" i="2"/>
  <c r="K551" i="1"/>
  <c r="F552" i="1"/>
  <c r="L362" i="1"/>
  <c r="J338" i="1"/>
  <c r="J352" i="1" s="1"/>
  <c r="E110" i="2"/>
  <c r="E115" i="2" s="1"/>
  <c r="C11" i="10"/>
  <c r="K257" i="1"/>
  <c r="K271" i="1" s="1"/>
  <c r="I257" i="1"/>
  <c r="I271" i="1" s="1"/>
  <c r="H257" i="1"/>
  <c r="H271" i="1" s="1"/>
  <c r="C17" i="10"/>
  <c r="G257" i="1"/>
  <c r="G271" i="1" s="1"/>
  <c r="G651" i="1"/>
  <c r="J651" i="1" s="1"/>
  <c r="C20" i="10"/>
  <c r="C18" i="10"/>
  <c r="C16" i="10"/>
  <c r="F257" i="1"/>
  <c r="F271" i="1" s="1"/>
  <c r="H647" i="1"/>
  <c r="D6" i="13"/>
  <c r="C6" i="13" s="1"/>
  <c r="D5" i="13"/>
  <c r="C5" i="13" s="1"/>
  <c r="C10" i="10"/>
  <c r="D14" i="13"/>
  <c r="C14" i="13" s="1"/>
  <c r="C120" i="2"/>
  <c r="D7" i="13"/>
  <c r="C7" i="13" s="1"/>
  <c r="C124" i="2"/>
  <c r="C119" i="2"/>
  <c r="C21" i="10"/>
  <c r="G662" i="1"/>
  <c r="C121" i="2"/>
  <c r="L229" i="1"/>
  <c r="G645" i="1"/>
  <c r="C62" i="2"/>
  <c r="C63" i="2" s="1"/>
  <c r="H52" i="1"/>
  <c r="H619" i="1" s="1"/>
  <c r="J619" i="1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J618" i="1"/>
  <c r="G42" i="2"/>
  <c r="J51" i="1"/>
  <c r="G16" i="2"/>
  <c r="J19" i="1"/>
  <c r="G621" i="1" s="1"/>
  <c r="G18" i="2"/>
  <c r="F545" i="1"/>
  <c r="H434" i="1"/>
  <c r="J620" i="1"/>
  <c r="D103" i="2"/>
  <c r="I140" i="1"/>
  <c r="A22" i="12"/>
  <c r="G50" i="2"/>
  <c r="G51" i="2" s="1"/>
  <c r="J652" i="1"/>
  <c r="G571" i="1"/>
  <c r="I434" i="1"/>
  <c r="G434" i="1"/>
  <c r="I663" i="1"/>
  <c r="E51" i="2" l="1"/>
  <c r="I661" i="1"/>
  <c r="E128" i="2"/>
  <c r="E145" i="2" s="1"/>
  <c r="J647" i="1"/>
  <c r="J625" i="1"/>
  <c r="G104" i="2"/>
  <c r="H660" i="1"/>
  <c r="H664" i="1" s="1"/>
  <c r="H672" i="1" s="1"/>
  <c r="C6" i="10" s="1"/>
  <c r="L338" i="1"/>
  <c r="L352" i="1" s="1"/>
  <c r="G633" i="1" s="1"/>
  <c r="J633" i="1" s="1"/>
  <c r="J642" i="1"/>
  <c r="C141" i="2"/>
  <c r="C144" i="2" s="1"/>
  <c r="E63" i="2"/>
  <c r="D31" i="13"/>
  <c r="C31" i="13" s="1"/>
  <c r="F104" i="2"/>
  <c r="L408" i="1"/>
  <c r="J645" i="1"/>
  <c r="F660" i="1"/>
  <c r="F664" i="1" s="1"/>
  <c r="F672" i="1" s="1"/>
  <c r="C4" i="10" s="1"/>
  <c r="D104" i="2"/>
  <c r="H33" i="13"/>
  <c r="I662" i="1"/>
  <c r="F33" i="13"/>
  <c r="E33" i="13"/>
  <c r="D35" i="13" s="1"/>
  <c r="I193" i="1"/>
  <c r="G630" i="1" s="1"/>
  <c r="J630" i="1" s="1"/>
  <c r="E104" i="2"/>
  <c r="G627" i="1"/>
  <c r="C115" i="2"/>
  <c r="G635" i="1"/>
  <c r="L257" i="1"/>
  <c r="C27" i="10"/>
  <c r="C28" i="10" s="1"/>
  <c r="D22" i="10" s="1"/>
  <c r="H648" i="1"/>
  <c r="J648" i="1" s="1"/>
  <c r="C128" i="2"/>
  <c r="G660" i="1"/>
  <c r="C104" i="2"/>
  <c r="F51" i="2"/>
  <c r="C51" i="2"/>
  <c r="G631" i="1"/>
  <c r="J631" i="1" s="1"/>
  <c r="G193" i="1"/>
  <c r="G626" i="1"/>
  <c r="J626" i="1" s="1"/>
  <c r="J52" i="1"/>
  <c r="H621" i="1" s="1"/>
  <c r="J621" i="1" s="1"/>
  <c r="C38" i="10"/>
  <c r="H667" i="1" l="1"/>
  <c r="F667" i="1"/>
  <c r="G637" i="1"/>
  <c r="J637" i="1" s="1"/>
  <c r="H646" i="1"/>
  <c r="J646" i="1" s="1"/>
  <c r="D33" i="13"/>
  <c r="D36" i="13" s="1"/>
  <c r="C145" i="2"/>
  <c r="G628" i="1"/>
  <c r="F470" i="1"/>
  <c r="H627" i="1"/>
  <c r="J627" i="1" s="1"/>
  <c r="G474" i="1"/>
  <c r="H635" i="1"/>
  <c r="J635" i="1" s="1"/>
  <c r="L271" i="1"/>
  <c r="G632" i="1" s="1"/>
  <c r="F474" i="1"/>
  <c r="H632" i="1"/>
  <c r="D15" i="10"/>
  <c r="D17" i="10"/>
  <c r="D19" i="10"/>
  <c r="D26" i="10"/>
  <c r="D16" i="10"/>
  <c r="D18" i="10"/>
  <c r="D12" i="10"/>
  <c r="D13" i="10"/>
  <c r="D21" i="10"/>
  <c r="D20" i="10"/>
  <c r="D25" i="10"/>
  <c r="D10" i="10"/>
  <c r="C30" i="10"/>
  <c r="D23" i="10"/>
  <c r="D27" i="10"/>
  <c r="D24" i="10"/>
  <c r="D11" i="10"/>
  <c r="G664" i="1"/>
  <c r="I660" i="1"/>
  <c r="I664" i="1" s="1"/>
  <c r="I672" i="1" s="1"/>
  <c r="C7" i="10" s="1"/>
  <c r="C41" i="10"/>
  <c r="D38" i="10" s="1"/>
  <c r="F476" i="1" l="1"/>
  <c r="H622" i="1" s="1"/>
  <c r="J622" i="1" s="1"/>
  <c r="G470" i="1"/>
  <c r="G476" i="1" s="1"/>
  <c r="H623" i="1" s="1"/>
  <c r="J623" i="1" s="1"/>
  <c r="H628" i="1"/>
  <c r="J628" i="1" s="1"/>
  <c r="J632" i="1"/>
  <c r="D28" i="10"/>
  <c r="I667" i="1"/>
  <c r="G672" i="1"/>
  <c r="C5" i="10" s="1"/>
  <c r="G667" i="1"/>
  <c r="D37" i="10"/>
  <c r="D36" i="10"/>
  <c r="D35" i="10"/>
  <c r="D40" i="10"/>
  <c r="D39" i="10"/>
  <c r="H656" i="1" l="1"/>
  <c r="D41" i="10"/>
  <c r="G529" i="1" l="1"/>
  <c r="G545" i="1" s="1"/>
  <c r="L526" i="1"/>
  <c r="G549" i="1" s="1"/>
  <c r="G552" i="1" l="1"/>
  <c r="K549" i="1"/>
  <c r="K552" i="1" s="1"/>
  <c r="L529" i="1"/>
  <c r="L545" i="1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<sst xmlns="http://schemas.openxmlformats.org/spreadsheetml/2006/main" count="3956" uniqueCount="914">
  <si>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</si>
  <si>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</si>
  <si>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</si>
  <si>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</si>
  <si>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</si>
  <si>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</si>
  <si>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</si>
  <si>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</si>
  <si>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</si>
  <si>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</si>
  <si>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</si>
  <si>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</si>
  <si>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</si>
  <si>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</si>
  <si>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</si>
  <si>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</si>
  <si>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</si>
  <si>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</si>
  <si>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</si>
  <si>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</si>
  <si>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</si>
  <si>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</si>
  <si>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</si>
  <si>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</si>
  <si>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</si>
  <si>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</si>
  <si>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</si>
  <si>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</si>
  <si>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</si>
  <si>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</si>
  <si>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</si>
  <si>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</si>
  <si>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</si>
  <si>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</si>
  <si>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</si>
  <si>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</si>
  <si>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</si>
  <si>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</si>
  <si>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</si>
  <si>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</si>
  <si>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</si>
  <si>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</si>
  <si>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</si>
  <si>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</si>
  <si>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</si>
  <si>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</si>
  <si>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</si>
  <si>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</si>
  <si>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</si>
  <si>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</si>
  <si>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</si>
  <si>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</si>
  <si>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</si>
  <si>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</si>
  <si>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</si>
  <si>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</si>
  <si>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</si>
  <si>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</si>
  <si>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</si>
  <si>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</si>
  <si>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</si>
  <si>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</si>
  <si>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</si>
  <si>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</si>
  <si>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</si>
  <si>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</si>
  <si>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</si>
  <si>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</si>
  <si>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</si>
  <si>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</si>
  <si>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</si>
  <si>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</si>
  <si>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</si>
  <si>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</si>
  <si>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</si>
  <si>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</si>
  <si>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</si>
  <si>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</si>
  <si>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</si>
  <si>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</si>
  <si>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</si>
  <si>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</si>
  <si>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</si>
  <si>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</si>
  <si>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</si>
  <si>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</si>
  <si>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</si>
  <si>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</si>
  <si>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</si>
  <si>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</si>
  <si>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</si>
  <si>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</si>
  <si>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</si>
  <si>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</si>
  <si>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</si>
  <si>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</si>
  <si>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</si>
  <si>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</si>
  <si>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</si>
  <si>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</si>
  <si>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</si>
  <si>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</si>
  <si>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</si>
  <si>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</si>
  <si>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</si>
  <si>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</si>
  <si>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</si>
  <si>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</si>
  <si>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</si>
  <si>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</si>
  <si>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</si>
  <si>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</si>
  <si>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</si>
  <si>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</si>
  <si>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</si>
  <si>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</si>
  <si>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</si>
  <si>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</si>
  <si>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</si>
  <si>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</si>
  <si>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</si>
  <si>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</si>
  <si>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</si>
  <si>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</si>
  <si>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</si>
  <si>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</si>
  <si>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</si>
  <si>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</si>
  <si>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</si>
  <si>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</si>
  <si>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</si>
  <si>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</si>
  <si>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</si>
  <si>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</si>
  <si>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</si>
  <si>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</si>
  <si>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</si>
  <si>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</si>
  <si>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</si>
  <si>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</si>
  <si>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</si>
  <si>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</si>
  <si>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</si>
  <si>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</si>
  <si>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</si>
  <si>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</si>
  <si>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</si>
  <si>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</si>
  <si>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</si>
  <si>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</si>
  <si>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</si>
  <si>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</si>
  <si>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</si>
  <si>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</si>
  <si>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</si>
  <si>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</si>
  <si>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</si>
  <si>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</si>
  <si>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</si>
  <si>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</si>
  <si>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</si>
  <si>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</si>
  <si>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</si>
  <si>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</si>
  <si>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</si>
  <si>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</si>
  <si>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</si>
  <si>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</si>
  <si>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</si>
  <si>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</si>
  <si>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</si>
  <si>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</si>
  <si>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</si>
  <si>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</si>
  <si>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</si>
  <si>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</si>
  <si>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</si>
  <si>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</si>
  <si>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</si>
  <si>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</si>
  <si>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</si>
  <si>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</si>
  <si>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</si>
  <si>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</si>
  <si>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</si>
  <si>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</si>
  <si>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</si>
  <si>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</si>
  <si>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</si>
  <si>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</si>
  <si>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</si>
  <si>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</si>
  <si>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</si>
  <si>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</si>
  <si>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</si>
  <si>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</si>
  <si>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</si>
  <si>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</si>
  <si>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</si>
  <si>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</si>
  <si>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</si>
  <si>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</si>
  <si>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</si>
  <si>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</si>
  <si>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</si>
  <si>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</si>
  <si>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</si>
  <si>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</si>
  <si>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</si>
  <si>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</si>
  <si>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</si>
  <si>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</si>
  <si>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</si>
  <si>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</si>
  <si>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</si>
  <si>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</si>
  <si>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</si>
  <si>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</si>
  <si>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</si>
  <si>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</si>
  <si>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</si>
  <si>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</si>
  <si>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</si>
  <si>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</si>
  <si>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</si>
  <si>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</si>
  <si>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</si>
  <si>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</si>
  <si>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</si>
  <si>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</si>
  <si>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</si>
  <si>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</si>
  <si>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</si>
  <si>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</si>
  <si>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</si>
  <si>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</si>
  <si>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</si>
  <si>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</si>
  <si>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</si>
  <si>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</si>
  <si>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</si>
  <si>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</si>
  <si>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</si>
  <si>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</si>
  <si>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</si>
  <si>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</si>
  <si>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</si>
  <si>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</si>
  <si>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</si>
  <si>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</si>
  <si>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</si>
  <si>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</si>
  <si>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</si>
  <si>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</si>
  <si>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</si>
  <si>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</si>
  <si>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</si>
  <si>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</si>
  <si>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</si>
  <si>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</si>
  <si>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</si>
  <si>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</si>
  <si>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</si>
  <si>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</si>
  <si>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</si>
  <si>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</si>
  <si>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</si>
  <si>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</si>
  <si>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</si>
  <si>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</si>
  <si>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</si>
  <si>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</si>
  <si>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</si>
  <si>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</si>
  <si>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</si>
  <si>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</si>
  <si>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</si>
  <si>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</si>
  <si>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</si>
  <si>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</si>
  <si>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</si>
  <si>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</si>
  <si>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</si>
  <si>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</si>
  <si>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</si>
  <si>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</si>
  <si>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</si>
  <si>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</si>
  <si>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</si>
  <si>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</si>
  <si>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</si>
  <si>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</si>
  <si>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</si>
  <si>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</si>
  <si>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</si>
  <si>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</si>
  <si>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</si>
  <si>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</si>
  <si>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</si>
  <si>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</si>
  <si>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</si>
  <si>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</si>
  <si>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</si>
  <si>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</si>
  <si>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</si>
  <si>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</si>
  <si>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</si>
  <si>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</si>
  <si>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</si>
  <si>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</si>
  <si>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</si>
  <si>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</si>
  <si>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</si>
  <si>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</si>
  <si>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</si>
  <si>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</si>
  <si>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</si>
  <si>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</si>
  <si>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</si>
  <si>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</si>
  <si>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</si>
  <si>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</si>
  <si>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</si>
  <si>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</si>
  <si>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</si>
  <si>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</si>
  <si>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</si>
  <si>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</si>
  <si>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</si>
  <si>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</si>
  <si>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</si>
  <si>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</si>
  <si>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</si>
  <si>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</si>
  <si>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</si>
  <si>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</si>
  <si>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</si>
  <si>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</si>
  <si>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</si>
  <si>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</si>
  <si>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</si>
  <si>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</si>
  <si>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</si>
  <si>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</si>
  <si>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</si>
  <si>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</si>
  <si>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</si>
  <si>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</si>
  <si>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</si>
  <si>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</si>
  <si>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</si>
  <si>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</si>
  <si>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</si>
  <si>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</si>
  <si>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</si>
  <si>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</si>
  <si>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</si>
  <si>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</si>
  <si>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</si>
  <si>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</si>
  <si>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</si>
  <si>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</si>
  <si>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</si>
  <si>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</si>
  <si>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</si>
  <si>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</si>
  <si>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</si>
  <si>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</si>
  <si>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</si>
  <si>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</si>
  <si>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</si>
  <si>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</si>
  <si>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</si>
  <si>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</si>
  <si>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</si>
  <si>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</si>
  <si>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</si>
  <si>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</si>
  <si>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</si>
  <si>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</si>
  <si>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</si>
  <si>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</si>
  <si>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</si>
  <si>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</si>
  <si>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</si>
  <si>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</si>
  <si>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</si>
  <si>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</si>
  <si>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</si>
  <si>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</si>
  <si>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</si>
  <si>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</si>
  <si>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</si>
  <si>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</si>
  <si>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</si>
  <si>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</si>
  <si>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</si>
  <si>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</si>
  <si>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</si>
  <si>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</si>
  <si>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</si>
  <si>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</si>
  <si>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</si>
  <si>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</si>
  <si>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</si>
  <si>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</si>
  <si>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</si>
  <si>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</si>
  <si>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</si>
  <si>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</si>
  <si>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</si>
  <si>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</si>
  <si>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</si>
  <si>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</si>
  <si>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</si>
  <si>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</si>
  <si>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</si>
  <si>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</si>
  <si>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</si>
  <si>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</si>
  <si>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</si>
  <si>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</si>
  <si>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</si>
  <si>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</si>
  <si>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</si>
  <si>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</si>
  <si>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</si>
  <si>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</si>
  <si>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</si>
  <si>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</si>
  <si>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</si>
  <si>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</si>
  <si>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</si>
  <si>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</si>
  <si>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</si>
  <si>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</si>
  <si>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</si>
  <si>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</si>
  <si>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</si>
  <si>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</si>
  <si>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</si>
  <si>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</si>
  <si>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</si>
  <si>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</si>
  <si>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</si>
  <si>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</si>
  <si>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</si>
  <si>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</si>
  <si>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</si>
  <si>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</si>
  <si>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</si>
  <si>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</si>
  <si>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</si>
  <si>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</si>
  <si>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</si>
  <si>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</si>
  <si>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</si>
  <si>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</si>
  <si>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</si>
  <si>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</si>
  <si>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</si>
  <si>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</si>
  <si>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</si>
  <si>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</si>
  <si>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</si>
  <si>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</si>
  <si>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</si>
  <si>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</si>
  <si>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</si>
  <si>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</si>
  <si>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</si>
  <si>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</si>
  <si>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</si>
  <si>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</si>
  <si>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</si>
  <si>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</si>
  <si>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</si>
  <si>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</si>
  <si>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</si>
  <si>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</si>
  <si>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</si>
  <si>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</si>
  <si>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</si>
  <si>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</si>
  <si>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</si>
  <si>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</si>
  <si>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</si>
  <si>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</si>
  <si>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</si>
  <si>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</si>
  <si>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</si>
  <si>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</si>
  <si>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</si>
  <si>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</si>
  <si>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</si>
  <si>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</si>
  <si>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</si>
  <si>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</si>
  <si>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</si>
  <si>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</si>
  <si>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</si>
  <si>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</si>
  <si>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</si>
  <si>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</si>
  <si>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</si>
  <si>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</si>
  <si>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</si>
  <si>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</si>
  <si>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</si>
  <si>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</si>
  <si>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</si>
  <si>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</si>
  <si>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</si>
  <si>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</si>
  <si>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</si>
  <si>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</si>
  <si>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</si>
  <si>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</si>
  <si>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</si>
  <si>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</si>
  <si>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</si>
  <si>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</si>
  <si>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</si>
  <si>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</si>
  <si>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</si>
  <si>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</si>
  <si>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</si>
  <si>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</si>
  <si>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</si>
  <si>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</si>
  <si>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</si>
  <si>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</si>
  <si>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</si>
  <si>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</si>
  <si>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</si>
  <si>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</si>
  <si>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</si>
  <si>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</si>
  <si>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</si>
  <si>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</si>
  <si>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</si>
  <si>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</si>
  <si>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</si>
  <si>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</si>
  <si>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</si>
  <si>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</si>
  <si>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</si>
  <si>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</si>
  <si>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</si>
  <si>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</si>
  <si>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</si>
  <si>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</si>
  <si>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</si>
  <si>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</si>
  <si>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</si>
  <si>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</si>
  <si>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</si>
  <si>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</si>
  <si>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</si>
  <si>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</si>
  <si>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</si>
  <si>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</si>
  <si>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</si>
  <si>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</si>
  <si>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</si>
  <si>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</si>
  <si>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</si>
  <si>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</si>
  <si>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</si>
  <si>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</si>
  <si>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</si>
  <si>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</si>
  <si>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</si>
  <si>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</si>
  <si>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</si>
  <si>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</si>
  <si>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</si>
  <si>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</si>
  <si>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</si>
  <si>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</si>
  <si>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</si>
  <si>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</si>
  <si>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</si>
  <si>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</si>
  <si>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</si>
  <si>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</si>
  <si>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</si>
  <si>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</si>
  <si>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</si>
  <si>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</si>
  <si>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</si>
  <si>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</si>
  <si>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</si>
  <si>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</si>
  <si>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</si>
  <si>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</si>
  <si>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</si>
  <si>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</si>
  <si>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</si>
  <si>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</si>
  <si>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</si>
  <si>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</si>
  <si>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</si>
  <si>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</si>
  <si>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</si>
  <si>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</si>
  <si>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</si>
  <si>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</si>
  <si>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</si>
  <si>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</si>
  <si>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</si>
  <si>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</si>
  <si>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</si>
  <si>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</si>
  <si>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</si>
  <si>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</si>
  <si>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</si>
  <si>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</si>
  <si>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</si>
  <si>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</si>
  <si>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</si>
  <si>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</si>
  <si>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</si>
  <si>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</si>
  <si>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</si>
  <si>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</si>
  <si>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</si>
  <si>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</si>
  <si>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</si>
  <si>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</si>
  <si>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</si>
  <si>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</si>
  <si>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</si>
  <si>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</si>
  <si>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</si>
  <si>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</si>
  <si>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</si>
  <si>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</si>
  <si>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</si>
  <si>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</si>
  <si>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</si>
  <si>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</si>
  <si>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</si>
  <si>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</si>
  <si>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</si>
  <si>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</si>
  <si>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</si>
  <si>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</si>
  <si>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</si>
  <si>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</si>
  <si>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</si>
  <si>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</si>
  <si>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</si>
  <si>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</si>
  <si>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</si>
  <si>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</si>
  <si>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</si>
  <si>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</si>
  <si>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</si>
  <si>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</si>
  <si>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</si>
  <si>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</si>
  <si>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</si>
  <si>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</si>
  <si>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</si>
  <si>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</si>
  <si>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</si>
  <si>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</si>
  <si>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</si>
  <si>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</si>
  <si>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</si>
  <si>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</si>
  <si>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</si>
  <si>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</si>
  <si>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</si>
  <si>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</si>
  <si>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</si>
  <si>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</si>
  <si>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</si>
  <si>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</si>
  <si>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</si>
  <si>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</si>
  <si>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</si>
  <si>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</si>
  <si>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</si>
  <si>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</si>
  <si>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</si>
  <si>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</si>
  <si>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</si>
  <si>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</si>
  <si>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</si>
  <si>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</si>
  <si>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</si>
  <si>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</si>
  <si>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</si>
  <si>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</si>
  <si>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</si>
  <si>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</si>
  <si>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</si>
  <si>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</si>
  <si>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</si>
  <si>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</si>
  <si>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</si>
  <si>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</si>
  <si>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</si>
  <si>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</si>
  <si>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</si>
  <si>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</si>
  <si>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</si>
  <si>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</si>
  <si>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</si>
  <si>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</si>
  <si>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</si>
  <si>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</si>
  <si>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</si>
  <si>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</si>
  <si>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</si>
  <si>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</si>
  <si>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</si>
  <si>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</si>
  <si>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</si>
  <si>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</si>
  <si>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</si>
  <si>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</si>
  <si>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</si>
  <si>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</si>
  <si>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</si>
  <si>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</si>
  <si>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</si>
  <si>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</si>
  <si>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</si>
  <si>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</si>
  <si>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</si>
  <si>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</si>
  <si>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</si>
  <si>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</si>
  <si>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</si>
  <si>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</si>
  <si>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</si>
  <si>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</si>
  <si>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</si>
  <si>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</si>
  <si>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</si>
  <si>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</si>
  <si>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</si>
  <si>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</si>
  <si>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</si>
  <si>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</si>
  <si>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</si>
  <si>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</si>
  <si>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</si>
  <si>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</si>
  <si>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</si>
  <si>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</si>
  <si>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</si>
  <si>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</si>
  <si>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</si>
  <si>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</si>
  <si>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</si>
  <si>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</si>
  <si>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</si>
  <si>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</si>
  <si>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</si>
  <si>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</si>
  <si>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</si>
  <si>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</si>
  <si>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</si>
  <si>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</si>
  <si>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</si>
  <si>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</si>
  <si>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</si>
  <si>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</si>
  <si>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</si>
  <si>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</si>
  <si>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</si>
  <si>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</si>
  <si>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</si>
  <si>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</si>
  <si>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</si>
  <si>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</si>
  <si>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</si>
  <si>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</si>
  <si>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</si>
  <si>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</si>
  <si>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</si>
  <si>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</si>
  <si>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</si>
  <si>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</si>
  <si>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</si>
  <si>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</si>
  <si>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</si>
  <si>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</si>
  <si>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</si>
  <si>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</si>
  <si>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</si>
  <si>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</si>
  <si>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</si>
  <si>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</si>
  <si>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</si>
  <si>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</si>
  <si>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</si>
  <si>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</si>
  <si>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</si>
  <si>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</si>
  <si>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</si>
  <si>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</si>
  <si>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</si>
  <si>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</si>
  <si>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</si>
  <si>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</si>
  <si>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</si>
  <si>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</si>
  <si>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</si>
  <si>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</si>
  <si>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</si>
  <si>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</si>
  <si>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</si>
  <si>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</si>
  <si>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</si>
  <si>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</si>
  <si>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</si>
  <si>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</si>
  <si>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</si>
  <si>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</si>
  <si>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</si>
  <si>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</si>
  <si>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</si>
  <si>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</si>
  <si>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</si>
  <si>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</si>
  <si>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</si>
  <si>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</si>
  <si>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</si>
  <si>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</si>
  <si>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</si>
  <si>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</si>
  <si>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</si>
  <si>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</si>
  <si>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</si>
  <si>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</si>
  <si>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</si>
  <si>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</si>
  <si>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</si>
  <si>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</si>
  <si>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</si>
  <si>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</si>
  <si>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</si>
  <si>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</si>
  <si>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</si>
  <si>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</si>
  <si>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</si>
  <si>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</si>
  <si>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</si>
  <si>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</si>
  <si>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</si>
  <si>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</si>
  <si>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</si>
  <si>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</si>
  <si>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</si>
  <si>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</si>
  <si>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</si>
  <si>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</si>
  <si>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</si>
  <si>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</si>
  <si>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</si>
  <si>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</si>
  <si>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</si>
  <si>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</si>
  <si>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</si>
  <si>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</si>
  <si>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</si>
  <si>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</si>
  <si>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</si>
  <si>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</si>
  <si>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</si>
  <si>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</si>
  <si>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</si>
  <si>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</si>
  <si>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</si>
  <si>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</si>
  <si>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</si>
  <si>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</si>
  <si>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</si>
  <si>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</si>
  <si>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</si>
  <si>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</si>
  <si>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</si>
  <si>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</si>
  <si>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</si>
  <si>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</si>
  <si>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</si>
  <si>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</si>
  <si>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</si>
  <si>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</si>
  <si>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</si>
  <si>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</si>
  <si>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</si>
  <si>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</si>
  <si>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</si>
  <si>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</si>
  <si>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</si>
  <si>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</si>
  <si>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</si>
  <si>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</si>
  <si>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</si>
  <si>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</si>
  <si>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</si>
  <si>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</si>
  <si>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</si>
  <si>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</si>
  <si>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</si>
  <si>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SUNAPEE SCHOOL DISTRICT SAU85</t>
  </si>
  <si>
    <t>general fund health and dental insurance premiums were offset by the expense lines.</t>
  </si>
  <si>
    <t>we use function 2900 and prorate based on percentage of salary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</si>
</sst>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515</v>
      </c>
      <c r="C2" s="21">
        <v>515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313509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228466</v>
      </c>
      <c r="G12" s="18">
        <v>8250</v>
      </c>
      <c r="H12" s="18"/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7376</v>
      </c>
      <c r="G13" s="18">
        <v>2809</v>
      </c>
      <c r="H13" s="18">
        <v>101545</v>
      </c>
      <c r="I13" s="18">
        <v>0</v>
      </c>
      <c r="J13" s="67">
        <f>SUM(I442)</f>
        <v>639829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25000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29865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604216</v>
      </c>
      <c r="G19" s="41">
        <f>SUM(G9:G18)</f>
        <v>11059</v>
      </c>
      <c r="H19" s="41">
        <f>SUM(H9:H18)</f>
        <v>101545</v>
      </c>
      <c r="I19" s="41">
        <f>SUM(I9:I18)</f>
        <v>0</v>
      </c>
      <c r="J19" s="41">
        <f>SUM(J9:J18)</f>
        <v>639829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101545</v>
      </c>
      <c r="I22" s="18"/>
      <c r="J22" s="67">
        <f>SUM(I448)</f>
        <v>25000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101545</v>
      </c>
      <c r="I32" s="41">
        <f>SUM(I22:I31)</f>
        <v>0</v>
      </c>
      <c r="J32" s="41">
        <f>SUM(J22:J31)</f>
        <v>25000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125000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11059</v>
      </c>
      <c r="H48" s="18">
        <v>0</v>
      </c>
      <c r="I48" s="18"/>
      <c r="J48" s="13">
        <f>SUM(I459)</f>
        <v>614829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199572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229644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604216</v>
      </c>
      <c r="G51" s="41">
        <f>SUM(G35:G50)</f>
        <v>11059</v>
      </c>
      <c r="H51" s="41">
        <f>SUM(H35:H50)</f>
        <v>0</v>
      </c>
      <c r="I51" s="41">
        <f>SUM(I35:I50)</f>
        <v>0</v>
      </c>
      <c r="J51" s="41">
        <f>SUM(J35:J50)</f>
        <v>614829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604216</v>
      </c>
      <c r="G52" s="41">
        <f>G51+G32</f>
        <v>11059</v>
      </c>
      <c r="H52" s="41">
        <f>H51+H32</f>
        <v>101545</v>
      </c>
      <c r="I52" s="41">
        <f>I51+I32</f>
        <v>0</v>
      </c>
      <c r="J52" s="41">
        <f>J51+J32</f>
        <v>639829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6713490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6713490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53986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91994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43596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189576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544</v>
      </c>
      <c r="G96" s="18"/>
      <c r="H96" s="18"/>
      <c r="I96" s="18"/>
      <c r="J96" s="18">
        <v>165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75357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7090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7634</v>
      </c>
      <c r="G111" s="41">
        <f>SUM(G96:G110)</f>
        <v>75357</v>
      </c>
      <c r="H111" s="41">
        <f>SUM(H96:H110)</f>
        <v>0</v>
      </c>
      <c r="I111" s="41">
        <f>SUM(I96:I110)</f>
        <v>0</v>
      </c>
      <c r="J111" s="41">
        <f>SUM(J96:J110)</f>
        <v>165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6910700</v>
      </c>
      <c r="G112" s="41">
        <f>G60+G111</f>
        <v>75357</v>
      </c>
      <c r="H112" s="41">
        <f>H60+H79+H94+H111</f>
        <v>0</v>
      </c>
      <c r="I112" s="41">
        <f>I60+I111</f>
        <v>0</v>
      </c>
      <c r="J112" s="41">
        <f>J60+J111</f>
        <v>165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18442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2959533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2977975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190645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869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1536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191514</v>
      </c>
      <c r="G136" s="41">
        <f>SUM(G123:G135)</f>
        <v>1536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3169489</v>
      </c>
      <c r="G140" s="41">
        <f>G121+SUM(G136:G137)</f>
        <v>1536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11887+41144+7005</f>
        <v>60036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8842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38855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124138+6889+696</f>
        <v>131723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108619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108619</v>
      </c>
      <c r="G162" s="41">
        <f>SUM(G150:G161)</f>
        <v>38855</v>
      </c>
      <c r="H162" s="41">
        <f>SUM(H150:H161)</f>
        <v>200601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108619</v>
      </c>
      <c r="G169" s="41">
        <f>G147+G162+SUM(G163:G168)</f>
        <v>38855</v>
      </c>
      <c r="H169" s="41">
        <f>H147+H162+SUM(H163:H168)</f>
        <v>200601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76000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76000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76000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10188808</v>
      </c>
      <c r="G193" s="47">
        <f>G112+G140+G169+G192</f>
        <v>115748</v>
      </c>
      <c r="H193" s="47">
        <f>H112+H140+H169+H192</f>
        <v>200601</v>
      </c>
      <c r="I193" s="47">
        <f>I112+I140+I169+I192</f>
        <v>0</v>
      </c>
      <c r="J193" s="47">
        <f>J112+J140+J192</f>
        <v>76165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1030261+48226</f>
        <v>1078487</v>
      </c>
      <c r="G197" s="18">
        <v>352567</v>
      </c>
      <c r="H197" s="18">
        <v>4763</v>
      </c>
      <c r="I197" s="18">
        <v>46635</v>
      </c>
      <c r="J197" s="18">
        <v>10375</v>
      </c>
      <c r="K197" s="18">
        <v>0</v>
      </c>
      <c r="L197" s="19">
        <f>SUM(F197:K197)</f>
        <v>1492827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335497</v>
      </c>
      <c r="G198" s="18">
        <v>98103</v>
      </c>
      <c r="H198" s="18">
        <v>256438</v>
      </c>
      <c r="I198" s="18">
        <v>2827</v>
      </c>
      <c r="J198" s="18">
        <v>977</v>
      </c>
      <c r="K198" s="18">
        <v>700</v>
      </c>
      <c r="L198" s="19">
        <f>SUM(F198:K198)</f>
        <v>694542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14815</v>
      </c>
      <c r="G200" s="18">
        <v>19406</v>
      </c>
      <c r="H200" s="18">
        <v>0</v>
      </c>
      <c r="I200" s="18">
        <v>5959</v>
      </c>
      <c r="J200" s="18"/>
      <c r="K200" s="18"/>
      <c r="L200" s="19">
        <f>SUM(F200:K200)</f>
        <v>40180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191739</v>
      </c>
      <c r="G202" s="18">
        <v>30056</v>
      </c>
      <c r="H202" s="18">
        <v>3030</v>
      </c>
      <c r="I202" s="18">
        <v>3813</v>
      </c>
      <c r="J202" s="18">
        <v>0</v>
      </c>
      <c r="K202" s="18">
        <v>0</v>
      </c>
      <c r="L202" s="19">
        <f t="shared" ref="L202:L208" si="0">SUM(F202:K202)</f>
        <v>228638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83440</v>
      </c>
      <c r="G203" s="18">
        <f>5542+39944</f>
        <v>45486</v>
      </c>
      <c r="H203" s="18">
        <f>18077+3000</f>
        <v>21077</v>
      </c>
      <c r="I203" s="18">
        <v>12121</v>
      </c>
      <c r="J203" s="18">
        <f>43108-68</f>
        <v>43040</v>
      </c>
      <c r="K203" s="18">
        <v>0</v>
      </c>
      <c r="L203" s="19">
        <f t="shared" si="0"/>
        <v>205164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83756</v>
      </c>
      <c r="G204" s="18">
        <f>5503+1607</f>
        <v>7110</v>
      </c>
      <c r="H204" s="18">
        <f>10661-2946</f>
        <v>7715</v>
      </c>
      <c r="I204" s="18">
        <v>8016</v>
      </c>
      <c r="J204" s="18">
        <v>137</v>
      </c>
      <c r="K204" s="18">
        <v>3402</v>
      </c>
      <c r="L204" s="19">
        <f t="shared" si="0"/>
        <v>110136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121676</v>
      </c>
      <c r="G205" s="18">
        <v>52311</v>
      </c>
      <c r="H205" s="18">
        <f>665</f>
        <v>665</v>
      </c>
      <c r="I205" s="18">
        <v>1231</v>
      </c>
      <c r="J205" s="18">
        <v>0</v>
      </c>
      <c r="K205" s="18">
        <v>864</v>
      </c>
      <c r="L205" s="19">
        <f t="shared" si="0"/>
        <v>176747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135314</v>
      </c>
      <c r="G207" s="18">
        <v>131409</v>
      </c>
      <c r="H207" s="18">
        <f>64400+298</f>
        <v>64698</v>
      </c>
      <c r="I207" s="18">
        <v>83750</v>
      </c>
      <c r="J207" s="18"/>
      <c r="K207" s="18"/>
      <c r="L207" s="19">
        <f t="shared" si="0"/>
        <v>415171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60553</v>
      </c>
      <c r="G208" s="18">
        <f>33+28612</f>
        <v>28645</v>
      </c>
      <c r="H208" s="18">
        <v>56905</v>
      </c>
      <c r="I208" s="18">
        <v>11657</v>
      </c>
      <c r="J208" s="18"/>
      <c r="K208" s="18"/>
      <c r="L208" s="19">
        <f t="shared" si="0"/>
        <v>157760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2105277</v>
      </c>
      <c r="G211" s="41">
        <f t="shared" si="1"/>
        <v>765093</v>
      </c>
      <c r="H211" s="41">
        <f t="shared" si="1"/>
        <v>415291</v>
      </c>
      <c r="I211" s="41">
        <f t="shared" si="1"/>
        <v>176009</v>
      </c>
      <c r="J211" s="41">
        <f t="shared" si="1"/>
        <v>54529</v>
      </c>
      <c r="K211" s="41">
        <f t="shared" si="1"/>
        <v>4966</v>
      </c>
      <c r="L211" s="41">
        <f t="shared" si="1"/>
        <v>3521165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625869+13590</f>
        <v>639459</v>
      </c>
      <c r="G215" s="18">
        <v>352567</v>
      </c>
      <c r="H215" s="18">
        <v>1544</v>
      </c>
      <c r="I215" s="18">
        <v>28260</v>
      </c>
      <c r="J215" s="18">
        <v>4872</v>
      </c>
      <c r="K215" s="18">
        <v>0</v>
      </c>
      <c r="L215" s="19">
        <f>SUM(F215:K215)</f>
        <v>1026702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156171</v>
      </c>
      <c r="G216" s="18">
        <v>98103</v>
      </c>
      <c r="H216" s="18">
        <v>256438</v>
      </c>
      <c r="I216" s="18">
        <v>1245</v>
      </c>
      <c r="J216" s="18">
        <v>872</v>
      </c>
      <c r="K216" s="18">
        <v>700</v>
      </c>
      <c r="L216" s="19">
        <f>SUM(F216:K216)</f>
        <v>513529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49758</v>
      </c>
      <c r="G218" s="18">
        <v>19406</v>
      </c>
      <c r="H218" s="18">
        <v>0</v>
      </c>
      <c r="I218" s="18">
        <v>23770</v>
      </c>
      <c r="J218" s="18"/>
      <c r="K218" s="18"/>
      <c r="L218" s="19">
        <f>SUM(F218:K218)</f>
        <v>92934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159952</v>
      </c>
      <c r="G220" s="18">
        <v>30056</v>
      </c>
      <c r="H220" s="18">
        <v>4790</v>
      </c>
      <c r="I220" s="18">
        <v>2747</v>
      </c>
      <c r="J220" s="18">
        <v>0</v>
      </c>
      <c r="K220" s="18">
        <v>0</v>
      </c>
      <c r="L220" s="19">
        <f t="shared" ref="L220:L226" si="2">SUM(F220:K220)</f>
        <v>197545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86130</v>
      </c>
      <c r="G221" s="18">
        <f>10791+39944</f>
        <v>50735</v>
      </c>
      <c r="H221" s="18">
        <v>18665</v>
      </c>
      <c r="I221" s="18">
        <v>18051</v>
      </c>
      <c r="J221" s="18">
        <f>28832+40676</f>
        <v>69508</v>
      </c>
      <c r="K221" s="18">
        <v>0</v>
      </c>
      <c r="L221" s="19">
        <f t="shared" si="2"/>
        <v>243089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83756</v>
      </c>
      <c r="G222" s="18">
        <f>5503+1607</f>
        <v>7110</v>
      </c>
      <c r="H222" s="18">
        <v>10661</v>
      </c>
      <c r="I222" s="18">
        <v>8016</v>
      </c>
      <c r="J222" s="18">
        <v>137</v>
      </c>
      <c r="K222" s="18">
        <v>3402</v>
      </c>
      <c r="L222" s="19">
        <f t="shared" si="2"/>
        <v>113082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101431</v>
      </c>
      <c r="G223" s="18">
        <v>52311</v>
      </c>
      <c r="H223" s="18">
        <v>3263</v>
      </c>
      <c r="I223" s="18">
        <v>5823</v>
      </c>
      <c r="J223" s="18">
        <v>0</v>
      </c>
      <c r="K223" s="18">
        <v>2241</v>
      </c>
      <c r="L223" s="19">
        <f t="shared" si="2"/>
        <v>165069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67409</v>
      </c>
      <c r="G225" s="18">
        <v>179635</v>
      </c>
      <c r="H225" s="18">
        <f>66498-25000</f>
        <v>41498</v>
      </c>
      <c r="I225" s="18">
        <v>102689</v>
      </c>
      <c r="J225" s="18"/>
      <c r="K225" s="18"/>
      <c r="L225" s="19">
        <f t="shared" si="2"/>
        <v>391231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67556</v>
      </c>
      <c r="G226" s="18">
        <f>33+28612</f>
        <v>28645</v>
      </c>
      <c r="H226" s="18">
        <v>40911</v>
      </c>
      <c r="I226" s="18">
        <v>11657</v>
      </c>
      <c r="J226" s="18"/>
      <c r="K226" s="18"/>
      <c r="L226" s="19">
        <f t="shared" si="2"/>
        <v>148769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1411622</v>
      </c>
      <c r="G229" s="41">
        <f>SUM(G215:G228)</f>
        <v>818568</v>
      </c>
      <c r="H229" s="41">
        <f>SUM(H215:H228)</f>
        <v>377770</v>
      </c>
      <c r="I229" s="41">
        <f>SUM(I215:I228)</f>
        <v>202258</v>
      </c>
      <c r="J229" s="41">
        <f>SUM(J215:J228)</f>
        <v>75389</v>
      </c>
      <c r="K229" s="41">
        <f t="shared" si="3"/>
        <v>6343</v>
      </c>
      <c r="L229" s="41">
        <f t="shared" si="3"/>
        <v>2891950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929971</v>
      </c>
      <c r="G233" s="18">
        <f>363250+29652</f>
        <v>392902</v>
      </c>
      <c r="H233" s="18">
        <v>2316</v>
      </c>
      <c r="I233" s="18">
        <v>42391</v>
      </c>
      <c r="J233" s="18">
        <f>7308+13151</f>
        <v>20459</v>
      </c>
      <c r="K233" s="18">
        <v>0</v>
      </c>
      <c r="L233" s="19">
        <f>SUM(F233:K233)</f>
        <v>1388039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212065</v>
      </c>
      <c r="G234" s="18">
        <v>101075</v>
      </c>
      <c r="H234" s="18">
        <v>264209</v>
      </c>
      <c r="I234" s="18">
        <v>1868</v>
      </c>
      <c r="J234" s="18">
        <v>1308</v>
      </c>
      <c r="K234" s="18">
        <v>721</v>
      </c>
      <c r="L234" s="19">
        <f>SUM(F234:K234)</f>
        <v>581246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74638</v>
      </c>
      <c r="G236" s="18">
        <v>1994</v>
      </c>
      <c r="H236" s="18">
        <v>0</v>
      </c>
      <c r="I236" s="18">
        <v>35655</v>
      </c>
      <c r="J236" s="18"/>
      <c r="K236" s="18"/>
      <c r="L236" s="19">
        <f>SUM(F236:K236)</f>
        <v>112287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202947</v>
      </c>
      <c r="G238" s="18">
        <v>30966</v>
      </c>
      <c r="H238" s="18">
        <f>5762+336</f>
        <v>6098</v>
      </c>
      <c r="I238" s="18">
        <v>3416</v>
      </c>
      <c r="J238" s="18">
        <v>0</v>
      </c>
      <c r="K238" s="18">
        <v>0</v>
      </c>
      <c r="L238" s="19">
        <f t="shared" ref="L238:L244" si="4">SUM(F238:K238)</f>
        <v>243427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116964</v>
      </c>
      <c r="G239" s="18">
        <f>13584+41154</f>
        <v>54738</v>
      </c>
      <c r="H239" s="18">
        <f>20906+2730</f>
        <v>23636</v>
      </c>
      <c r="I239" s="18">
        <f>23673+400</f>
        <v>24073</v>
      </c>
      <c r="J239" s="18">
        <f>43249+61638</f>
        <v>104887</v>
      </c>
      <c r="K239" s="18">
        <v>0</v>
      </c>
      <c r="L239" s="19">
        <f t="shared" si="4"/>
        <v>324298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83756</v>
      </c>
      <c r="G240" s="18">
        <f>5669+1656</f>
        <v>7325</v>
      </c>
      <c r="H240" s="18">
        <v>10984</v>
      </c>
      <c r="I240" s="18">
        <v>8259</v>
      </c>
      <c r="J240" s="18">
        <v>141</v>
      </c>
      <c r="K240" s="18">
        <v>3505</v>
      </c>
      <c r="L240" s="19">
        <f t="shared" si="4"/>
        <v>113970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152146</v>
      </c>
      <c r="G241" s="18">
        <v>53897</v>
      </c>
      <c r="H241" s="18">
        <f>4895+276+176</f>
        <v>5347</v>
      </c>
      <c r="I241" s="18">
        <v>8735</v>
      </c>
      <c r="J241" s="18">
        <v>0</v>
      </c>
      <c r="K241" s="18">
        <f>3362+7466</f>
        <v>10828</v>
      </c>
      <c r="L241" s="19">
        <f t="shared" si="4"/>
        <v>230953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85880</v>
      </c>
      <c r="G243" s="18">
        <v>101322</v>
      </c>
      <c r="H243" s="18">
        <f>92624+26545-876+4970+20501+16300-11137-26000</f>
        <v>122927</v>
      </c>
      <c r="I243" s="18">
        <f>148443+1752</f>
        <v>150195</v>
      </c>
      <c r="J243" s="18"/>
      <c r="K243" s="18"/>
      <c r="L243" s="19">
        <f t="shared" si="4"/>
        <v>460324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146563</v>
      </c>
      <c r="G244" s="18">
        <f>34+29479</f>
        <v>29513</v>
      </c>
      <c r="H244" s="18">
        <v>58323</v>
      </c>
      <c r="I244" s="18">
        <v>12010</v>
      </c>
      <c r="J244" s="18"/>
      <c r="K244" s="18"/>
      <c r="L244" s="19">
        <f t="shared" si="4"/>
        <v>246409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2004930</v>
      </c>
      <c r="G247" s="41">
        <f t="shared" si="5"/>
        <v>773732</v>
      </c>
      <c r="H247" s="41">
        <f t="shared" si="5"/>
        <v>493840</v>
      </c>
      <c r="I247" s="41">
        <f t="shared" si="5"/>
        <v>286602</v>
      </c>
      <c r="J247" s="41">
        <f t="shared" si="5"/>
        <v>126795</v>
      </c>
      <c r="K247" s="41">
        <f t="shared" si="5"/>
        <v>15054</v>
      </c>
      <c r="L247" s="41">
        <f t="shared" si="5"/>
        <v>3700953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5521829</v>
      </c>
      <c r="G257" s="41">
        <f t="shared" si="8"/>
        <v>2357393</v>
      </c>
      <c r="H257" s="41">
        <f t="shared" si="8"/>
        <v>1286901</v>
      </c>
      <c r="I257" s="41">
        <f t="shared" si="8"/>
        <v>664869</v>
      </c>
      <c r="J257" s="41">
        <f t="shared" si="8"/>
        <v>256713</v>
      </c>
      <c r="K257" s="41">
        <f t="shared" si="8"/>
        <v>26363</v>
      </c>
      <c r="L257" s="41">
        <f t="shared" si="8"/>
        <v>10114068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76000</v>
      </c>
      <c r="L266" s="19">
        <f t="shared" si="9"/>
        <v>76000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76000</v>
      </c>
      <c r="L270" s="41">
        <f t="shared" si="9"/>
        <v>76000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5521829</v>
      </c>
      <c r="G271" s="42">
        <f t="shared" si="11"/>
        <v>2357393</v>
      </c>
      <c r="H271" s="42">
        <f t="shared" si="11"/>
        <v>1286901</v>
      </c>
      <c r="I271" s="42">
        <f t="shared" si="11"/>
        <v>664869</v>
      </c>
      <c r="J271" s="42">
        <f t="shared" si="11"/>
        <v>256713</v>
      </c>
      <c r="K271" s="42">
        <f t="shared" si="11"/>
        <v>102363</v>
      </c>
      <c r="L271" s="42">
        <f t="shared" si="11"/>
        <v>10190068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41142</v>
      </c>
      <c r="G276" s="18">
        <v>0</v>
      </c>
      <c r="H276" s="18">
        <f>4330+293</f>
        <v>4623</v>
      </c>
      <c r="I276" s="18">
        <v>1400</v>
      </c>
      <c r="J276" s="18">
        <v>926</v>
      </c>
      <c r="K276" s="18"/>
      <c r="L276" s="19">
        <f>SUM(F276:K276)</f>
        <v>48091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2797</v>
      </c>
      <c r="G277" s="18">
        <v>0</v>
      </c>
      <c r="H277" s="18">
        <f>14617+2842</f>
        <v>17459</v>
      </c>
      <c r="I277" s="18">
        <v>1726</v>
      </c>
      <c r="J277" s="18">
        <f>15219</f>
        <v>15219</v>
      </c>
      <c r="K277" s="18"/>
      <c r="L277" s="19">
        <f>SUM(F277:K277)</f>
        <v>37201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3996</v>
      </c>
      <c r="G281" s="18"/>
      <c r="H281" s="18"/>
      <c r="I281" s="18"/>
      <c r="J281" s="18">
        <v>1634</v>
      </c>
      <c r="K281" s="18"/>
      <c r="L281" s="19">
        <f t="shared" ref="L281:L287" si="12">SUM(F281:K281)</f>
        <v>5630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>
        <v>210</v>
      </c>
      <c r="J282" s="18">
        <v>1388</v>
      </c>
      <c r="K282" s="18"/>
      <c r="L282" s="19">
        <f t="shared" si="12"/>
        <v>1598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667+351</f>
        <v>1018</v>
      </c>
      <c r="I287" s="18">
        <v>330</v>
      </c>
      <c r="J287" s="18"/>
      <c r="K287" s="18"/>
      <c r="L287" s="19">
        <f t="shared" si="12"/>
        <v>1348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47935</v>
      </c>
      <c r="G290" s="42">
        <f t="shared" si="13"/>
        <v>0</v>
      </c>
      <c r="H290" s="42">
        <f t="shared" si="13"/>
        <v>23100</v>
      </c>
      <c r="I290" s="42">
        <f t="shared" si="13"/>
        <v>3666</v>
      </c>
      <c r="J290" s="42">
        <f t="shared" si="13"/>
        <v>19167</v>
      </c>
      <c r="K290" s="42">
        <f t="shared" si="13"/>
        <v>0</v>
      </c>
      <c r="L290" s="41">
        <f t="shared" si="13"/>
        <v>93868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f>4330+294</f>
        <v>4624</v>
      </c>
      <c r="I295" s="18">
        <v>1400</v>
      </c>
      <c r="J295" s="18">
        <v>926</v>
      </c>
      <c r="K295" s="18"/>
      <c r="L295" s="19">
        <f>SUM(F295:K295)</f>
        <v>6950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2797</v>
      </c>
      <c r="G296" s="18">
        <v>0</v>
      </c>
      <c r="H296" s="18">
        <f>14617+2842</f>
        <v>17459</v>
      </c>
      <c r="I296" s="18">
        <v>1725</v>
      </c>
      <c r="J296" s="18">
        <f>15219</f>
        <v>15219</v>
      </c>
      <c r="K296" s="18"/>
      <c r="L296" s="19">
        <f>SUM(F296:K296)</f>
        <v>37200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3996</v>
      </c>
      <c r="G300" s="18"/>
      <c r="H300" s="18"/>
      <c r="I300" s="18"/>
      <c r="J300" s="18">
        <v>1635</v>
      </c>
      <c r="K300" s="18"/>
      <c r="L300" s="19">
        <f t="shared" ref="L300:L306" si="14">SUM(F300:K300)</f>
        <v>5631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>
        <v>210</v>
      </c>
      <c r="K301" s="18"/>
      <c r="L301" s="19">
        <f t="shared" si="14"/>
        <v>210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351+667</f>
        <v>1018</v>
      </c>
      <c r="I306" s="18">
        <v>330</v>
      </c>
      <c r="J306" s="18"/>
      <c r="K306" s="18"/>
      <c r="L306" s="19">
        <f t="shared" si="14"/>
        <v>1348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6793</v>
      </c>
      <c r="G309" s="42">
        <f t="shared" si="15"/>
        <v>0</v>
      </c>
      <c r="H309" s="42">
        <f t="shared" si="15"/>
        <v>23101</v>
      </c>
      <c r="I309" s="42">
        <f t="shared" si="15"/>
        <v>3455</v>
      </c>
      <c r="J309" s="42">
        <f t="shared" si="15"/>
        <v>17990</v>
      </c>
      <c r="K309" s="42">
        <f t="shared" si="15"/>
        <v>0</v>
      </c>
      <c r="L309" s="41">
        <f t="shared" si="15"/>
        <v>51339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2500</v>
      </c>
      <c r="G314" s="18">
        <v>0</v>
      </c>
      <c r="H314" s="18">
        <f>4461+302</f>
        <v>4763</v>
      </c>
      <c r="I314" s="18">
        <v>1442</v>
      </c>
      <c r="J314" s="18">
        <f>954</f>
        <v>954</v>
      </c>
      <c r="K314" s="18"/>
      <c r="L314" s="19">
        <f>SUM(F314:K314)</f>
        <v>9659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2882</f>
        <v>2882</v>
      </c>
      <c r="G315" s="18">
        <v>0</v>
      </c>
      <c r="H315" s="18">
        <f>15060+2928</f>
        <v>17988</v>
      </c>
      <c r="I315" s="18">
        <v>1778</v>
      </c>
      <c r="J315" s="18">
        <f>15680</f>
        <v>15680</v>
      </c>
      <c r="K315" s="18"/>
      <c r="L315" s="19">
        <f>SUM(F315:K315)</f>
        <v>38328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4117</v>
      </c>
      <c r="G319" s="18"/>
      <c r="H319" s="18"/>
      <c r="I319" s="18"/>
      <c r="J319" s="18">
        <v>1685</v>
      </c>
      <c r="K319" s="18"/>
      <c r="L319" s="19">
        <f t="shared" ref="L319:L325" si="16">SUM(F319:K319)</f>
        <v>5802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>
        <v>340</v>
      </c>
      <c r="J320" s="18"/>
      <c r="K320" s="18"/>
      <c r="L320" s="19">
        <f t="shared" si="16"/>
        <v>340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687+362</f>
        <v>1049</v>
      </c>
      <c r="I325" s="18">
        <v>216</v>
      </c>
      <c r="J325" s="18"/>
      <c r="K325" s="18"/>
      <c r="L325" s="19">
        <f t="shared" si="16"/>
        <v>1265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9499</v>
      </c>
      <c r="G328" s="42">
        <f t="shared" si="17"/>
        <v>0</v>
      </c>
      <c r="H328" s="42">
        <f t="shared" si="17"/>
        <v>23800</v>
      </c>
      <c r="I328" s="42">
        <f t="shared" si="17"/>
        <v>3776</v>
      </c>
      <c r="J328" s="42">
        <f t="shared" si="17"/>
        <v>18319</v>
      </c>
      <c r="K328" s="42">
        <f t="shared" si="17"/>
        <v>0</v>
      </c>
      <c r="L328" s="41">
        <f t="shared" si="17"/>
        <v>55394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64227</v>
      </c>
      <c r="G338" s="41">
        <f t="shared" si="20"/>
        <v>0</v>
      </c>
      <c r="H338" s="41">
        <f t="shared" si="20"/>
        <v>70001</v>
      </c>
      <c r="I338" s="41">
        <f t="shared" si="20"/>
        <v>10897</v>
      </c>
      <c r="J338" s="41">
        <f t="shared" si="20"/>
        <v>55476</v>
      </c>
      <c r="K338" s="41">
        <f t="shared" si="20"/>
        <v>0</v>
      </c>
      <c r="L338" s="41">
        <f t="shared" si="20"/>
        <v>200601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64227</v>
      </c>
      <c r="G352" s="41">
        <f>G338</f>
        <v>0</v>
      </c>
      <c r="H352" s="41">
        <f>H338</f>
        <v>70001</v>
      </c>
      <c r="I352" s="41">
        <f>I338</f>
        <v>10897</v>
      </c>
      <c r="J352" s="41">
        <f>J338</f>
        <v>55476</v>
      </c>
      <c r="K352" s="47">
        <f>K338+K351</f>
        <v>0</v>
      </c>
      <c r="L352" s="41">
        <f>L338+L351</f>
        <v>200601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21886</v>
      </c>
      <c r="G358" s="18"/>
      <c r="H358" s="18">
        <v>336</v>
      </c>
      <c r="I358" s="18">
        <v>19208</v>
      </c>
      <c r="J358" s="18">
        <v>3924</v>
      </c>
      <c r="K358" s="18">
        <v>0</v>
      </c>
      <c r="L358" s="13">
        <f>SUM(F358:K358)</f>
        <v>45354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21886</v>
      </c>
      <c r="G359" s="18"/>
      <c r="H359" s="18">
        <v>327</v>
      </c>
      <c r="I359" s="18">
        <v>19208</v>
      </c>
      <c r="J359" s="18">
        <v>3923</v>
      </c>
      <c r="K359" s="18">
        <v>0</v>
      </c>
      <c r="L359" s="19">
        <f>SUM(F359:K359)</f>
        <v>45344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22550</v>
      </c>
      <c r="G360" s="18"/>
      <c r="H360" s="18">
        <v>327</v>
      </c>
      <c r="I360" s="18">
        <v>19790</v>
      </c>
      <c r="J360" s="18">
        <v>4042</v>
      </c>
      <c r="K360" s="18">
        <v>0</v>
      </c>
      <c r="L360" s="19">
        <f>SUM(F360:K360)</f>
        <v>46709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66322</v>
      </c>
      <c r="G362" s="47">
        <f t="shared" si="22"/>
        <v>0</v>
      </c>
      <c r="H362" s="47">
        <f t="shared" si="22"/>
        <v>990</v>
      </c>
      <c r="I362" s="47">
        <f t="shared" si="22"/>
        <v>58206</v>
      </c>
      <c r="J362" s="47">
        <f t="shared" si="22"/>
        <v>11889</v>
      </c>
      <c r="K362" s="47">
        <f t="shared" si="22"/>
        <v>0</v>
      </c>
      <c r="L362" s="47">
        <f t="shared" si="22"/>
        <v>137407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18916</v>
      </c>
      <c r="G367" s="18">
        <v>18916</v>
      </c>
      <c r="H367" s="18">
        <v>19489</v>
      </c>
      <c r="I367" s="56">
        <f>SUM(F367:H367)</f>
        <v>57321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292</v>
      </c>
      <c r="G368" s="63">
        <v>292</v>
      </c>
      <c r="H368" s="63">
        <v>301</v>
      </c>
      <c r="I368" s="56">
        <f>SUM(F368:H368)</f>
        <v>885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19208</v>
      </c>
      <c r="G369" s="47">
        <f>SUM(G367:G368)</f>
        <v>19208</v>
      </c>
      <c r="H369" s="47">
        <f>SUM(H367:H368)</f>
        <v>19790</v>
      </c>
      <c r="I369" s="47">
        <f>SUM(I367:I368)</f>
        <v>58206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0</v>
      </c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>
        <v>0</v>
      </c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51000</v>
      </c>
      <c r="H396" s="18">
        <v>66</v>
      </c>
      <c r="I396" s="18"/>
      <c r="J396" s="24" t="s">
        <v>289</v>
      </c>
      <c r="K396" s="24" t="s">
        <v>289</v>
      </c>
      <c r="L396" s="56">
        <f t="shared" si="26"/>
        <v>51066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71</v>
      </c>
      <c r="I397" s="18"/>
      <c r="J397" s="24" t="s">
        <v>289</v>
      </c>
      <c r="K397" s="24" t="s">
        <v>289</v>
      </c>
      <c r="L397" s="56">
        <f t="shared" si="26"/>
        <v>25071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28</v>
      </c>
      <c r="I400" s="18"/>
      <c r="J400" s="24" t="s">
        <v>289</v>
      </c>
      <c r="K400" s="24" t="s">
        <v>289</v>
      </c>
      <c r="L400" s="56">
        <f t="shared" si="26"/>
        <v>28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76000</v>
      </c>
      <c r="H401" s="47">
        <f>SUM(H395:H400)</f>
        <v>165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76165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76000</v>
      </c>
      <c r="H408" s="47">
        <f>H393+H401+H407</f>
        <v>165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76165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25000</v>
      </c>
      <c r="L415" s="56">
        <f t="shared" si="27"/>
        <v>25000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2300</v>
      </c>
      <c r="L418" s="56">
        <f t="shared" si="27"/>
        <v>2300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27300</v>
      </c>
      <c r="L419" s="47">
        <f t="shared" si="28"/>
        <v>27300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27300</v>
      </c>
      <c r="L434" s="47">
        <f t="shared" si="32"/>
        <v>27300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639829</v>
      </c>
      <c r="H442" s="18"/>
      <c r="I442" s="56">
        <f t="shared" si="33"/>
        <v>639829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639829</v>
      </c>
      <c r="H446" s="13">
        <f>SUM(H439:H445)</f>
        <v>0</v>
      </c>
      <c r="I446" s="13">
        <f>SUM(I439:I445)</f>
        <v>639829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25000</v>
      </c>
      <c r="H448" s="18"/>
      <c r="I448" s="56">
        <f>SUM(F448:H448)</f>
        <v>25000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25000</v>
      </c>
      <c r="H452" s="72">
        <f>SUM(H448:H451)</f>
        <v>0</v>
      </c>
      <c r="I452" s="72">
        <f>SUM(I448:I451)</f>
        <v>25000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614829</v>
      </c>
      <c r="H459" s="18"/>
      <c r="I459" s="56">
        <f t="shared" si="34"/>
        <v>614829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614829</v>
      </c>
      <c r="H460" s="83">
        <f>SUM(H454:H459)</f>
        <v>0</v>
      </c>
      <c r="I460" s="83">
        <f>SUM(I454:I459)</f>
        <v>614829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639829</v>
      </c>
      <c r="H461" s="42">
        <f>H452+H460</f>
        <v>0</v>
      </c>
      <c r="I461" s="42">
        <f>I452+I460</f>
        <v>639829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605476</v>
      </c>
      <c r="G465" s="18">
        <v>32718</v>
      </c>
      <c r="H465" s="18"/>
      <c r="I465" s="18"/>
      <c r="J465" s="18">
        <v>565964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10188808</v>
      </c>
      <c r="G468" s="18">
        <v>115748</v>
      </c>
      <c r="H468" s="18">
        <v>200601</v>
      </c>
      <c r="I468" s="18"/>
      <c r="J468" s="18">
        <v>76165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10188808</v>
      </c>
      <c r="G470" s="53">
        <f>SUM(G468:G469)</f>
        <v>115748</v>
      </c>
      <c r="H470" s="53">
        <f>SUM(H468:H469)</f>
        <v>200601</v>
      </c>
      <c r="I470" s="53">
        <f>SUM(I468:I469)</f>
        <v>0</v>
      </c>
      <c r="J470" s="53">
        <f>SUM(J468:J469)</f>
        <v>76165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10190068</f>
        <v>10190068</v>
      </c>
      <c r="G472" s="18">
        <v>137407</v>
      </c>
      <c r="H472" s="18">
        <v>200601</v>
      </c>
      <c r="I472" s="18"/>
      <c r="J472" s="18">
        <v>27300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10190068</v>
      </c>
      <c r="G474" s="53">
        <f>SUM(G472:G473)</f>
        <v>137407</v>
      </c>
      <c r="H474" s="53">
        <f>SUM(H472:H473)</f>
        <v>200601</v>
      </c>
      <c r="I474" s="53">
        <f>SUM(I472:I473)</f>
        <v>0</v>
      </c>
      <c r="J474" s="53">
        <f>SUM(J472:J473)</f>
        <v>27300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604216</v>
      </c>
      <c r="G476" s="53">
        <f>(G465+G470)- G474</f>
        <v>11059</v>
      </c>
      <c r="H476" s="53">
        <f>(H465+H470)- H474</f>
        <v>0</v>
      </c>
      <c r="I476" s="53">
        <f>(I465+I470)- I474</f>
        <v>0</v>
      </c>
      <c r="J476" s="53">
        <f>(J465+J470)- J474</f>
        <v>614829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335479</v>
      </c>
      <c r="G521" s="18">
        <v>73168</v>
      </c>
      <c r="H521" s="18">
        <v>256438</v>
      </c>
      <c r="I521" s="18">
        <v>2827</v>
      </c>
      <c r="J521" s="18">
        <v>0</v>
      </c>
      <c r="K521" s="18">
        <v>700</v>
      </c>
      <c r="L521" s="88">
        <f>SUM(F521:K521)</f>
        <v>668612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156171</v>
      </c>
      <c r="G522" s="18">
        <v>34061</v>
      </c>
      <c r="H522" s="18">
        <v>256438</v>
      </c>
      <c r="I522" s="18">
        <v>1245</v>
      </c>
      <c r="J522" s="18">
        <v>872</v>
      </c>
      <c r="K522" s="18">
        <v>700</v>
      </c>
      <c r="L522" s="88">
        <f>SUM(F522:K522)</f>
        <v>449487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212065</v>
      </c>
      <c r="G523" s="18">
        <v>46251</v>
      </c>
      <c r="H523" s="18">
        <v>264209</v>
      </c>
      <c r="I523" s="18">
        <v>1868</v>
      </c>
      <c r="J523" s="18">
        <v>1308</v>
      </c>
      <c r="K523" s="18">
        <v>721</v>
      </c>
      <c r="L523" s="88">
        <f>SUM(F523:K523)</f>
        <v>526422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703715</v>
      </c>
      <c r="G524" s="108">
        <f t="shared" ref="G524:L524" si="36">SUM(G521:G523)</f>
        <v>153480</v>
      </c>
      <c r="H524" s="108">
        <f t="shared" si="36"/>
        <v>777085</v>
      </c>
      <c r="I524" s="108">
        <f t="shared" si="36"/>
        <v>5940</v>
      </c>
      <c r="J524" s="108">
        <f t="shared" si="36"/>
        <v>2180</v>
      </c>
      <c r="K524" s="108">
        <f t="shared" si="36"/>
        <v>2121</v>
      </c>
      <c r="L524" s="89">
        <f t="shared" si="36"/>
        <v>1644521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(78139+92341+68106)*0.33-0.38</f>
        <v>78733</v>
      </c>
      <c r="G526" s="18">
        <f>F526*(0.0765+0.1416)+0.33</f>
        <v>17171.997300000003</v>
      </c>
      <c r="H526" s="18">
        <f>(1129.24+8052.5)*0.33+0.03</f>
        <v>3030.0042000000003</v>
      </c>
      <c r="I526" s="18">
        <f>(1008.45+913.92+2628.49)*0.33+0.22</f>
        <v>1502.0038</v>
      </c>
      <c r="J526" s="18"/>
      <c r="K526" s="18"/>
      <c r="L526" s="88">
        <f>SUM(F526:K526)</f>
        <v>100437.0053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(78139+92341+68106)*0.33-0.38</f>
        <v>78733</v>
      </c>
      <c r="G527" s="18">
        <f>F527*(0.0765+0.1416)+0.33</f>
        <v>17171.997300000003</v>
      </c>
      <c r="H527" s="18">
        <f>(1129.24+8052.5)*0.33+0.03</f>
        <v>3030.0042000000003</v>
      </c>
      <c r="I527" s="18">
        <f>(1008.45+913.92+2628.49)*0.33+0.22</f>
        <v>1502.0038</v>
      </c>
      <c r="J527" s="18"/>
      <c r="K527" s="18"/>
      <c r="L527" s="88">
        <f>SUM(F527:K527)</f>
        <v>100437.0053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(78139+92341+68106)*0.34-0.24</f>
        <v>81119</v>
      </c>
      <c r="G528" s="18">
        <f>F528*(0.0765+0.1416)-0.05</f>
        <v>17692.003900000003</v>
      </c>
      <c r="H528" s="18">
        <f>(1129.24+8052.5)*0.34+0.21</f>
        <v>3122.0016000000001</v>
      </c>
      <c r="I528" s="18">
        <f>(1008.45+913.92+2628.49)*0.34+0.71</f>
        <v>1548.0024000000001</v>
      </c>
      <c r="J528" s="18"/>
      <c r="K528" s="18"/>
      <c r="L528" s="88">
        <f>SUM(F528:K528)</f>
        <v>103481.00790000001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238585</v>
      </c>
      <c r="G529" s="89">
        <f t="shared" ref="G529:L529" si="37">SUM(G526:G528)</f>
        <v>52035.998500000009</v>
      </c>
      <c r="H529" s="89">
        <f t="shared" si="37"/>
        <v>9182.01</v>
      </c>
      <c r="I529" s="89">
        <f t="shared" si="37"/>
        <v>4552.01</v>
      </c>
      <c r="J529" s="89">
        <f t="shared" si="37"/>
        <v>0</v>
      </c>
      <c r="K529" s="89">
        <f t="shared" si="37"/>
        <v>0</v>
      </c>
      <c r="L529" s="89">
        <f t="shared" si="37"/>
        <v>304355.01850000001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34333</v>
      </c>
      <c r="G531" s="18">
        <f>F531*(0.0765+0.1416)-0.03+5409</f>
        <v>12896.997300000001</v>
      </c>
      <c r="H531" s="18"/>
      <c r="I531" s="18"/>
      <c r="J531" s="18"/>
      <c r="K531" s="18"/>
      <c r="L531" s="88">
        <f>SUM(F531:K531)</f>
        <v>47229.997300000003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34333</v>
      </c>
      <c r="G532" s="18">
        <f>F532*(0.0765+0.1416)-0.03+54.09</f>
        <v>7542.0873000000011</v>
      </c>
      <c r="H532" s="18"/>
      <c r="I532" s="18"/>
      <c r="J532" s="18"/>
      <c r="K532" s="18"/>
      <c r="L532" s="88">
        <f>SUM(F532:K532)</f>
        <v>41875.087299999999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34334</v>
      </c>
      <c r="G533" s="18">
        <f>F533*(0.0765+0.1416)-0.25+54.09</f>
        <v>7542.0854000000008</v>
      </c>
      <c r="H533" s="18"/>
      <c r="I533" s="18"/>
      <c r="J533" s="18"/>
      <c r="K533" s="18"/>
      <c r="L533" s="88">
        <f>SUM(F533:K533)</f>
        <v>41876.085400000004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103000</v>
      </c>
      <c r="G534" s="89">
        <f t="shared" ref="G534:L534" si="38">SUM(G531:G533)</f>
        <v>27981.170000000002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130981.17000000001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1018+60758</f>
        <v>61776</v>
      </c>
      <c r="G541" s="18">
        <f>F541*(0.0765)+0.14</f>
        <v>4726.0039999999999</v>
      </c>
      <c r="H541" s="18"/>
      <c r="I541" s="18">
        <f>330+17333</f>
        <v>17663</v>
      </c>
      <c r="J541" s="18"/>
      <c r="K541" s="18"/>
      <c r="L541" s="88">
        <f>SUM(F541:K541)</f>
        <v>84165.004000000001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f>1018+57341</f>
        <v>58359</v>
      </c>
      <c r="G542" s="18">
        <f>F542*(0.0765)+0.54</f>
        <v>4465.0034999999998</v>
      </c>
      <c r="H542" s="18"/>
      <c r="I542" s="18">
        <f>330+17333</f>
        <v>17663</v>
      </c>
      <c r="J542" s="18"/>
      <c r="K542" s="18"/>
      <c r="L542" s="88">
        <f>SUM(F542:K542)</f>
        <v>80487.003499999992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1049+128560</f>
        <v>129609</v>
      </c>
      <c r="G543" s="18">
        <f>F543*(0.0765)-0.09</f>
        <v>9914.9984999999997</v>
      </c>
      <c r="H543" s="18"/>
      <c r="I543" s="18">
        <f>216+17334</f>
        <v>17550</v>
      </c>
      <c r="J543" s="18"/>
      <c r="K543" s="18"/>
      <c r="L543" s="88">
        <f>SUM(F543:K543)</f>
        <v>157073.99849999999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249744</v>
      </c>
      <c r="G544" s="193">
        <f t="shared" ref="G544:L544" si="40">SUM(G541:G543)</f>
        <v>19106.006000000001</v>
      </c>
      <c r="H544" s="193">
        <f t="shared" si="40"/>
        <v>0</v>
      </c>
      <c r="I544" s="193">
        <f t="shared" si="40"/>
        <v>52876</v>
      </c>
      <c r="J544" s="193">
        <f t="shared" si="40"/>
        <v>0</v>
      </c>
      <c r="K544" s="193">
        <f t="shared" si="40"/>
        <v>0</v>
      </c>
      <c r="L544" s="193">
        <f t="shared" si="40"/>
        <v>321726.00599999999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1295044</v>
      </c>
      <c r="G545" s="89">
        <f t="shared" ref="G545:L545" si="41">G524+G529+G534+G539+G544</f>
        <v>252603.17450000002</v>
      </c>
      <c r="H545" s="89">
        <f t="shared" si="41"/>
        <v>786267.01</v>
      </c>
      <c r="I545" s="89">
        <f t="shared" si="41"/>
        <v>63368.01</v>
      </c>
      <c r="J545" s="89">
        <f t="shared" si="41"/>
        <v>2180</v>
      </c>
      <c r="K545" s="89">
        <f t="shared" si="41"/>
        <v>2121</v>
      </c>
      <c r="L545" s="89">
        <f t="shared" si="41"/>
        <v>2401583.1944999998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668612</v>
      </c>
      <c r="G549" s="87">
        <f>L526</f>
        <v>100437.0053</v>
      </c>
      <c r="H549" s="87">
        <f>L531</f>
        <v>47229.997300000003</v>
      </c>
      <c r="I549" s="87">
        <f>L536</f>
        <v>0</v>
      </c>
      <c r="J549" s="87">
        <f>L541</f>
        <v>84165.004000000001</v>
      </c>
      <c r="K549" s="87">
        <f>SUM(F549:J549)</f>
        <v>900444.00659999996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449487</v>
      </c>
      <c r="G550" s="87">
        <f>L527</f>
        <v>100437.0053</v>
      </c>
      <c r="H550" s="87">
        <f>L532</f>
        <v>41875.087299999999</v>
      </c>
      <c r="I550" s="87">
        <f>L537</f>
        <v>0</v>
      </c>
      <c r="J550" s="87">
        <f>L542</f>
        <v>80487.003499999992</v>
      </c>
      <c r="K550" s="87">
        <f>SUM(F550:J550)</f>
        <v>672286.09609999997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526422</v>
      </c>
      <c r="G551" s="87">
        <f>L528</f>
        <v>103481.00790000001</v>
      </c>
      <c r="H551" s="87">
        <f>L533</f>
        <v>41876.085400000004</v>
      </c>
      <c r="I551" s="87">
        <f>L538</f>
        <v>0</v>
      </c>
      <c r="J551" s="87">
        <f>L543</f>
        <v>157073.99849999999</v>
      </c>
      <c r="K551" s="87">
        <f>SUM(F551:J551)</f>
        <v>828853.09179999994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1644521</v>
      </c>
      <c r="G552" s="89">
        <f t="shared" si="42"/>
        <v>304355.01850000001</v>
      </c>
      <c r="H552" s="89">
        <f t="shared" si="42"/>
        <v>130981.17000000001</v>
      </c>
      <c r="I552" s="89">
        <f t="shared" si="42"/>
        <v>0</v>
      </c>
      <c r="J552" s="89">
        <f t="shared" si="42"/>
        <v>321726.00599999999</v>
      </c>
      <c r="K552" s="89">
        <f t="shared" si="42"/>
        <v>2401583.1944999998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10514</v>
      </c>
      <c r="I579" s="87">
        <f t="shared" si="47"/>
        <v>10514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249076</v>
      </c>
      <c r="G582" s="18">
        <v>249076</v>
      </c>
      <c r="H582" s="18">
        <v>256624</v>
      </c>
      <c r="I582" s="87">
        <f t="shared" si="47"/>
        <v>754776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84611+3517-23407</f>
        <v>64721</v>
      </c>
      <c r="I591" s="18">
        <f>84611-23146</f>
        <v>61465</v>
      </c>
      <c r="J591" s="18">
        <f>88175-28514</f>
        <v>59661</v>
      </c>
      <c r="K591" s="104">
        <f t="shared" ref="K591:K597" si="48">SUM(H591:J591)</f>
        <v>185847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84165</v>
      </c>
      <c r="I592" s="18">
        <v>80487</v>
      </c>
      <c r="J592" s="18">
        <f>157074</f>
        <v>157074</v>
      </c>
      <c r="K592" s="104">
        <f t="shared" si="48"/>
        <v>321726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15576</v>
      </c>
      <c r="K593" s="104">
        <f t="shared" si="48"/>
        <v>15576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6817</v>
      </c>
      <c r="I594" s="18">
        <v>6817</v>
      </c>
      <c r="J594" s="18">
        <v>7024</v>
      </c>
      <c r="K594" s="104">
        <f t="shared" si="48"/>
        <v>20658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2057</v>
      </c>
      <c r="I595" s="18"/>
      <c r="J595" s="18">
        <v>7074</v>
      </c>
      <c r="K595" s="104">
        <f t="shared" si="48"/>
        <v>9131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157760</v>
      </c>
      <c r="I598" s="108">
        <f>SUM(I591:I597)</f>
        <v>148769</v>
      </c>
      <c r="J598" s="108">
        <f>SUM(J591:J597)</f>
        <v>246409</v>
      </c>
      <c r="K598" s="108">
        <f>SUM(K591:K597)</f>
        <v>552938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54597+17779-4379</f>
        <v>67997</v>
      </c>
      <c r="I604" s="18">
        <f>75389+17990</f>
        <v>93379</v>
      </c>
      <c r="J604" s="18">
        <f>126795+24018</f>
        <v>150813</v>
      </c>
      <c r="K604" s="104">
        <f>SUM(H604:J604)</f>
        <v>312189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67997</v>
      </c>
      <c r="I605" s="108">
        <f>SUM(I602:I604)</f>
        <v>93379</v>
      </c>
      <c r="J605" s="108">
        <f>SUM(J602:J604)</f>
        <v>150813</v>
      </c>
      <c r="K605" s="108">
        <f>SUM(K602:K604)</f>
        <v>312189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9158</v>
      </c>
      <c r="G611" s="18">
        <v>1997</v>
      </c>
      <c r="H611" s="18"/>
      <c r="I611" s="18"/>
      <c r="J611" s="18"/>
      <c r="K611" s="18"/>
      <c r="L611" s="88">
        <f>SUM(F611:K611)</f>
        <v>11155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6201</v>
      </c>
      <c r="G612" s="18">
        <v>1352</v>
      </c>
      <c r="H612" s="18"/>
      <c r="I612" s="18"/>
      <c r="J612" s="18"/>
      <c r="K612" s="18"/>
      <c r="L612" s="88">
        <f>SUM(F612:K612)</f>
        <v>7553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6201</v>
      </c>
      <c r="G613" s="18">
        <v>1352</v>
      </c>
      <c r="H613" s="18"/>
      <c r="I613" s="18"/>
      <c r="J613" s="18"/>
      <c r="K613" s="18"/>
      <c r="L613" s="88">
        <f>SUM(F613:K613)</f>
        <v>7553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21560</v>
      </c>
      <c r="G614" s="108">
        <f t="shared" si="49"/>
        <v>4701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26261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604216</v>
      </c>
      <c r="H617" s="109">
        <f>SUM(F52)</f>
        <v>604216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11059</v>
      </c>
      <c r="H618" s="109">
        <f>SUM(G52)</f>
        <v>11059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101545</v>
      </c>
      <c r="H619" s="109">
        <f>SUM(H52)</f>
        <v>101545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639829</v>
      </c>
      <c r="H621" s="109">
        <f>SUM(J52)</f>
        <v>639829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604216</v>
      </c>
      <c r="H622" s="109">
        <f>F476</f>
        <v>604216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11059</v>
      </c>
      <c r="H623" s="109">
        <f>G476</f>
        <v>11059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614829</v>
      </c>
      <c r="H626" s="109">
        <f>J476</f>
        <v>614829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10188808</v>
      </c>
      <c r="H627" s="104">
        <f>SUM(F468)</f>
        <v>10188808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115748</v>
      </c>
      <c r="H628" s="104">
        <f>SUM(G468)</f>
        <v>115748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200601</v>
      </c>
      <c r="H629" s="104">
        <f>SUM(H468)</f>
        <v>200601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76165</v>
      </c>
      <c r="H631" s="104">
        <f>SUM(J468)</f>
        <v>76165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10190068</v>
      </c>
      <c r="H632" s="104">
        <f>SUM(F472)</f>
        <v>10190068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200601</v>
      </c>
      <c r="H633" s="104">
        <f>SUM(H472)</f>
        <v>200601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58206</v>
      </c>
      <c r="H634" s="104">
        <f>I369</f>
        <v>58206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137407</v>
      </c>
      <c r="H635" s="104">
        <f>SUM(G472)</f>
        <v>137407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76165</v>
      </c>
      <c r="H637" s="164">
        <f>SUM(J468)</f>
        <v>76165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27300</v>
      </c>
      <c r="H638" s="164">
        <f>SUM(J472)</f>
        <v>27300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639829</v>
      </c>
      <c r="H640" s="104">
        <f>SUM(G461)</f>
        <v>639829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639829</v>
      </c>
      <c r="H642" s="104">
        <f>SUM(I461)</f>
        <v>639829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165</v>
      </c>
      <c r="H644" s="104">
        <f>H408</f>
        <v>165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76000</v>
      </c>
      <c r="H645" s="104">
        <f>G408</f>
        <v>76000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76165</v>
      </c>
      <c r="H646" s="104">
        <f>L408</f>
        <v>76165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552938</v>
      </c>
      <c r="H647" s="104">
        <f>L208+L226+L244</f>
        <v>552938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312189</v>
      </c>
      <c r="H648" s="104">
        <f>(J257+J338)-(J255+J336)</f>
        <v>312189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157760</v>
      </c>
      <c r="H649" s="104">
        <f>H598</f>
        <v>157760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148769</v>
      </c>
      <c r="H650" s="104">
        <f>I598</f>
        <v>148769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246409</v>
      </c>
      <c r="H651" s="104">
        <f>J598</f>
        <v>246409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76000</v>
      </c>
      <c r="H655" s="104">
        <f>K266+K347</f>
        <v>76000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3660387</v>
      </c>
      <c r="G660" s="19">
        <f>(L229+L309+L359)</f>
        <v>2988633</v>
      </c>
      <c r="H660" s="19">
        <f>(L247+L328+L360)</f>
        <v>3803056</v>
      </c>
      <c r="I660" s="19">
        <f>SUM(F660:H660)</f>
        <v>10452076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24873.124207645898</v>
      </c>
      <c r="G661" s="19">
        <f>(L359/IF(SUM(L358:L360)=0,1,SUM(L358:L360))*(SUM(G97:G110)))</f>
        <v>24867.639989229079</v>
      </c>
      <c r="H661" s="19">
        <f>(L360/IF(SUM(L358:L360)=0,1,SUM(L358:L360))*(SUM(G97:G110)))</f>
        <v>25616.235803125022</v>
      </c>
      <c r="I661" s="19">
        <f>SUM(F661:H661)</f>
        <v>75357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159108</v>
      </c>
      <c r="G662" s="19">
        <f>(L226+L306)-(J226+J306)</f>
        <v>150117</v>
      </c>
      <c r="H662" s="19">
        <f>(L244+L325)-(J244+J325)</f>
        <v>247674</v>
      </c>
      <c r="I662" s="19">
        <f>SUM(F662:H662)</f>
        <v>556899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328228</v>
      </c>
      <c r="G663" s="199">
        <f>SUM(G575:G587)+SUM(I602:I604)+L612</f>
        <v>350008</v>
      </c>
      <c r="H663" s="199">
        <f>SUM(H575:H587)+SUM(J602:J604)+L613</f>
        <v>425504</v>
      </c>
      <c r="I663" s="19">
        <f>SUM(F663:H663)</f>
        <v>1103740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3148177.8757923543</v>
      </c>
      <c r="G664" s="19">
        <f>G660-SUM(G661:G663)</f>
        <v>2463640.3600107711</v>
      </c>
      <c r="H664" s="19">
        <f>H660-SUM(H661:H663)</f>
        <v>3104261.764196875</v>
      </c>
      <c r="I664" s="19">
        <f>I660-SUM(I661:I663)</f>
        <v>8716080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168.52</v>
      </c>
      <c r="G665" s="248">
        <v>97.88</v>
      </c>
      <c r="H665" s="248">
        <v>144.57</v>
      </c>
      <c r="I665" s="19">
        <f>SUM(F665:H665)</f>
        <v>410.96999999999997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18681.330000000002</v>
      </c>
      <c r="G667" s="19">
        <f>ROUND(G664/G665,2)</f>
        <v>25170.01</v>
      </c>
      <c r="H667" s="19">
        <f>ROUND(H664/H665,2)</f>
        <v>21472.38</v>
      </c>
      <c r="I667" s="19">
        <f>ROUND(I664/I665,2)</f>
        <v>21208.560000000001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-1.3</v>
      </c>
      <c r="I670" s="19">
        <f>SUM(F670:H670)</f>
        <v>-1.3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18681.330000000002</v>
      </c>
      <c r="G672" s="19">
        <f>ROUND((G664+G669)/(G665+G670),2)</f>
        <v>25170.01</v>
      </c>
      <c r="H672" s="19">
        <f>ROUND((H664+H669)/(H665+H670),2)</f>
        <v>21667.21</v>
      </c>
      <c r="I672" s="19">
        <f>ROUND((I664+I669)/(I665+I670),2)</f>
        <v>21275.86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0" sqref="B10: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SUNAPEE SCHOOL DISTRICT SAU85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2691559</v>
      </c>
      <c r="C9" s="229">
        <f>'DOE25'!G197+'DOE25'!G215+'DOE25'!G233+'DOE25'!G276+'DOE25'!G295+'DOE25'!G314</f>
        <v>1098036</v>
      </c>
    </row>
    <row r="10" spans="1:3" x14ac:dyDescent="0.2">
      <c r="A10" t="s">
        <v>779</v>
      </c>
      <c r="B10" s="240">
        <v>1899308</v>
      </c>
      <c r="C10" s="240">
        <v>777521</v>
      </c>
    </row>
    <row r="11" spans="1:3" x14ac:dyDescent="0.2">
      <c r="A11" t="s">
        <v>780</v>
      </c>
      <c r="B11" s="240">
        <v>792251</v>
      </c>
      <c r="C11" s="240">
        <v>320515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2691559</v>
      </c>
      <c r="C13" s="231">
        <f>SUM(C10:C12)</f>
        <v>1098036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712209</v>
      </c>
      <c r="C18" s="229">
        <f>'DOE25'!G198+'DOE25'!G216+'DOE25'!G234+'DOE25'!G277+'DOE25'!G296+'DOE25'!G315</f>
        <v>297281</v>
      </c>
    </row>
    <row r="19" spans="1:3" x14ac:dyDescent="0.2">
      <c r="A19" t="s">
        <v>779</v>
      </c>
      <c r="B19" s="240">
        <v>498686</v>
      </c>
      <c r="C19" s="240">
        <v>208097</v>
      </c>
    </row>
    <row r="20" spans="1:3" x14ac:dyDescent="0.2">
      <c r="A20" t="s">
        <v>780</v>
      </c>
      <c r="B20" s="240">
        <v>213523</v>
      </c>
      <c r="C20" s="240">
        <v>89184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712209</v>
      </c>
      <c r="C22" s="231">
        <f>SUM(C19:C21)</f>
        <v>297281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139211</v>
      </c>
      <c r="C36" s="235">
        <f>'DOE25'!G200+'DOE25'!G218+'DOE25'!G236+'DOE25'!G279+'DOE25'!G298+'DOE25'!G317</f>
        <v>40806</v>
      </c>
    </row>
    <row r="37" spans="1:3" x14ac:dyDescent="0.2">
      <c r="A37" t="s">
        <v>779</v>
      </c>
      <c r="B37" s="240">
        <v>97448</v>
      </c>
      <c r="C37" s="240">
        <v>28564</v>
      </c>
    </row>
    <row r="38" spans="1:3" x14ac:dyDescent="0.2">
      <c r="A38" t="s">
        <v>780</v>
      </c>
      <c r="B38" s="240">
        <v>41763</v>
      </c>
      <c r="C38" s="240">
        <v>12242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139211</v>
      </c>
      <c r="C40" s="231">
        <f>SUM(C37:C39)</f>
        <v>40806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37" sqref="F3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SUNAPEE SCHOOL DISTRICT SAU85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5942286</v>
      </c>
      <c r="D5" s="20">
        <f>SUM('DOE25'!L197:L200)+SUM('DOE25'!L215:L218)+SUM('DOE25'!L233:L236)-F5-G5</f>
        <v>5901302</v>
      </c>
      <c r="E5" s="243"/>
      <c r="F5" s="255">
        <f>SUM('DOE25'!J197:J200)+SUM('DOE25'!J215:J218)+SUM('DOE25'!J233:J236)</f>
        <v>38863</v>
      </c>
      <c r="G5" s="53">
        <f>SUM('DOE25'!K197:K200)+SUM('DOE25'!K215:K218)+SUM('DOE25'!K233:K236)</f>
        <v>2121</v>
      </c>
      <c r="H5" s="259"/>
    </row>
    <row r="6" spans="1:9" x14ac:dyDescent="0.2">
      <c r="A6" s="32">
        <v>2100</v>
      </c>
      <c r="B6" t="s">
        <v>801</v>
      </c>
      <c r="C6" s="245">
        <f t="shared" si="0"/>
        <v>669610</v>
      </c>
      <c r="D6" s="20">
        <f>'DOE25'!L202+'DOE25'!L220+'DOE25'!L238-F6-G6</f>
        <v>669610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772551</v>
      </c>
      <c r="D7" s="20">
        <f>'DOE25'!L203+'DOE25'!L221+'DOE25'!L239-F7-G7</f>
        <v>555116</v>
      </c>
      <c r="E7" s="243"/>
      <c r="F7" s="255">
        <f>'DOE25'!J203+'DOE25'!J221+'DOE25'!J239</f>
        <v>217435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132907</v>
      </c>
      <c r="D8" s="243"/>
      <c r="E8" s="20">
        <f>'DOE25'!L204+'DOE25'!L222+'DOE25'!L240-F8-G8-D9-D11</f>
        <v>122183</v>
      </c>
      <c r="F8" s="255">
        <f>'DOE25'!J204+'DOE25'!J222+'DOE25'!J240</f>
        <v>415</v>
      </c>
      <c r="G8" s="53">
        <f>'DOE25'!K204+'DOE25'!K222+'DOE25'!K240</f>
        <v>10309</v>
      </c>
      <c r="H8" s="259"/>
    </row>
    <row r="9" spans="1:9" x14ac:dyDescent="0.2">
      <c r="A9" s="32">
        <v>2310</v>
      </c>
      <c r="B9" t="s">
        <v>818</v>
      </c>
      <c r="C9" s="245">
        <f t="shared" si="0"/>
        <v>47416</v>
      </c>
      <c r="D9" s="244">
        <v>47416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7800</v>
      </c>
      <c r="D10" s="243"/>
      <c r="E10" s="244">
        <v>7800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156865</v>
      </c>
      <c r="D11" s="244">
        <v>156865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572769</v>
      </c>
      <c r="D12" s="20">
        <f>'DOE25'!L205+'DOE25'!L223+'DOE25'!L241-F12-G12</f>
        <v>558836</v>
      </c>
      <c r="E12" s="243"/>
      <c r="F12" s="255">
        <f>'DOE25'!J205+'DOE25'!J223+'DOE25'!J241</f>
        <v>0</v>
      </c>
      <c r="G12" s="53">
        <f>'DOE25'!K205+'DOE25'!K223+'DOE25'!K241</f>
        <v>13933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1266726</v>
      </c>
      <c r="D14" s="20">
        <f>'DOE25'!L207+'DOE25'!L225+'DOE25'!L243-F14-G14</f>
        <v>1266726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552938</v>
      </c>
      <c r="D15" s="20">
        <f>'DOE25'!L208+'DOE25'!L226+'DOE25'!L244-F15-G15</f>
        <v>552938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80086</v>
      </c>
      <c r="D29" s="20">
        <f>'DOE25'!L358+'DOE25'!L359+'DOE25'!L360-'DOE25'!I367-F29-G29</f>
        <v>68197</v>
      </c>
      <c r="E29" s="243"/>
      <c r="F29" s="255">
        <f>'DOE25'!J358+'DOE25'!J359+'DOE25'!J360</f>
        <v>11889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200601</v>
      </c>
      <c r="D31" s="20">
        <f>'DOE25'!L290+'DOE25'!L309+'DOE25'!L328+'DOE25'!L333+'DOE25'!L334+'DOE25'!L335-F31-G31</f>
        <v>145125</v>
      </c>
      <c r="E31" s="243"/>
      <c r="F31" s="255">
        <f>'DOE25'!J290+'DOE25'!J309+'DOE25'!J328+'DOE25'!J333+'DOE25'!J334+'DOE25'!J335</f>
        <v>55476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9922131</v>
      </c>
      <c r="E33" s="246">
        <f>SUM(E5:E31)</f>
        <v>129983</v>
      </c>
      <c r="F33" s="246">
        <f>SUM(F5:F31)</f>
        <v>324078</v>
      </c>
      <c r="G33" s="246">
        <f>SUM(G5:G31)</f>
        <v>26363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129983</v>
      </c>
      <c r="E35" s="249"/>
    </row>
    <row r="36" spans="2:8" ht="12" thickTop="1" x14ac:dyDescent="0.2">
      <c r="B36" t="s">
        <v>815</v>
      </c>
      <c r="D36" s="20">
        <f>D33</f>
        <v>9922131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22" activePane="bottomLeft" state="frozen"/>
      <selection activeCell="F46" sqref="F46"/>
      <selection pane="bottomLeft" activeCell="E28" sqref="E2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SUNAPEE SCHOOL DISTRICT SAU85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313509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228466</v>
      </c>
      <c r="D11" s="95">
        <f>'DOE25'!G12</f>
        <v>8250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7376</v>
      </c>
      <c r="D12" s="95">
        <f>'DOE25'!G13</f>
        <v>2809</v>
      </c>
      <c r="E12" s="95">
        <f>'DOE25'!H13</f>
        <v>101545</v>
      </c>
      <c r="F12" s="95">
        <f>'DOE25'!I13</f>
        <v>0</v>
      </c>
      <c r="G12" s="95">
        <f>'DOE25'!J13</f>
        <v>639829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25000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29865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604216</v>
      </c>
      <c r="D18" s="41">
        <f>SUM(D8:D17)</f>
        <v>11059</v>
      </c>
      <c r="E18" s="41">
        <f>SUM(E8:E17)</f>
        <v>101545</v>
      </c>
      <c r="F18" s="41">
        <f>SUM(F8:F17)</f>
        <v>0</v>
      </c>
      <c r="G18" s="41">
        <f>SUM(G8:G17)</f>
        <v>639829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101545</v>
      </c>
      <c r="F21" s="95">
        <f>'DOE25'!I22</f>
        <v>0</v>
      </c>
      <c r="G21" s="95">
        <f>'DOE25'!J22</f>
        <v>25000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101545</v>
      </c>
      <c r="F31" s="41">
        <f>SUM(F21:F30)</f>
        <v>0</v>
      </c>
      <c r="G31" s="41">
        <f>SUM(G21:G30)</f>
        <v>25000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125000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11059</v>
      </c>
      <c r="E47" s="95">
        <f>'DOE25'!H48</f>
        <v>0</v>
      </c>
      <c r="F47" s="95">
        <f>'DOE25'!I48</f>
        <v>0</v>
      </c>
      <c r="G47" s="95">
        <f>'DOE25'!J48</f>
        <v>614829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199572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229644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604216</v>
      </c>
      <c r="D50" s="41">
        <f>SUM(D34:D49)</f>
        <v>11059</v>
      </c>
      <c r="E50" s="41">
        <f>SUM(E34:E49)</f>
        <v>0</v>
      </c>
      <c r="F50" s="41">
        <f>SUM(F34:F49)</f>
        <v>0</v>
      </c>
      <c r="G50" s="41">
        <f>SUM(G34:G49)</f>
        <v>614829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604216</v>
      </c>
      <c r="D51" s="41">
        <f>D50+D31</f>
        <v>11059</v>
      </c>
      <c r="E51" s="41">
        <f>E50+E31</f>
        <v>101545</v>
      </c>
      <c r="F51" s="41">
        <f>F50+F31</f>
        <v>0</v>
      </c>
      <c r="G51" s="41">
        <f>G50+G31</f>
        <v>639829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6713490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189576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544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75357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7090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197210</v>
      </c>
      <c r="D62" s="130">
        <f>SUM(D57:D61)</f>
        <v>75357</v>
      </c>
      <c r="E62" s="130">
        <f>SUM(E57:E61)</f>
        <v>0</v>
      </c>
      <c r="F62" s="130">
        <f>SUM(F57:F61)</f>
        <v>0</v>
      </c>
      <c r="G62" s="130">
        <f>SUM(G57:G61)</f>
        <v>165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6910700</v>
      </c>
      <c r="D63" s="22">
        <f>D56+D62</f>
        <v>75357</v>
      </c>
      <c r="E63" s="22">
        <f>E56+E62</f>
        <v>0</v>
      </c>
      <c r="F63" s="22">
        <f>F56+F62</f>
        <v>0</v>
      </c>
      <c r="G63" s="22">
        <f>G56+G62</f>
        <v>165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18442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2959533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2977975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190645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869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1536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191514</v>
      </c>
      <c r="D78" s="130">
        <f>SUM(D72:D77)</f>
        <v>1536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3169489</v>
      </c>
      <c r="D81" s="130">
        <f>SUM(D79:D80)+D78+D70</f>
        <v>1536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108619</v>
      </c>
      <c r="D88" s="95">
        <f>SUM('DOE25'!G153:G161)</f>
        <v>38855</v>
      </c>
      <c r="E88" s="95">
        <f>SUM('DOE25'!H153:H161)</f>
        <v>200601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108619</v>
      </c>
      <c r="D91" s="131">
        <f>SUM(D85:D90)</f>
        <v>38855</v>
      </c>
      <c r="E91" s="131">
        <f>SUM(E85:E90)</f>
        <v>200601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76000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76000</v>
      </c>
    </row>
    <row r="104" spans="1:7" ht="12.75" thickTop="1" thickBot="1" x14ac:dyDescent="0.25">
      <c r="A104" s="33" t="s">
        <v>765</v>
      </c>
      <c r="C104" s="86">
        <f>C63+C81+C91+C103</f>
        <v>10188808</v>
      </c>
      <c r="D104" s="86">
        <f>D63+D81+D91+D103</f>
        <v>115748</v>
      </c>
      <c r="E104" s="86">
        <f>E63+E81+E91+E103</f>
        <v>200601</v>
      </c>
      <c r="F104" s="86">
        <f>F63+F81+F91+F103</f>
        <v>0</v>
      </c>
      <c r="G104" s="86">
        <f>G63+G81+G103</f>
        <v>76165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3907568</v>
      </c>
      <c r="D109" s="24" t="s">
        <v>289</v>
      </c>
      <c r="E109" s="95">
        <f>('DOE25'!L276)+('DOE25'!L295)+('DOE25'!L314)</f>
        <v>64700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1789317</v>
      </c>
      <c r="D110" s="24" t="s">
        <v>289</v>
      </c>
      <c r="E110" s="95">
        <f>('DOE25'!L277)+('DOE25'!L296)+('DOE25'!L315)</f>
        <v>112729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245401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5942286</v>
      </c>
      <c r="D115" s="86">
        <f>SUM(D109:D114)</f>
        <v>0</v>
      </c>
      <c r="E115" s="86">
        <f>SUM(E109:E114)</f>
        <v>177429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669610</v>
      </c>
      <c r="D118" s="24" t="s">
        <v>289</v>
      </c>
      <c r="E118" s="95">
        <f>+('DOE25'!L281)+('DOE25'!L300)+('DOE25'!L319)</f>
        <v>17063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772551</v>
      </c>
      <c r="D119" s="24" t="s">
        <v>289</v>
      </c>
      <c r="E119" s="95">
        <f>+('DOE25'!L282)+('DOE25'!L301)+('DOE25'!L320)</f>
        <v>2148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337188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572769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1266726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552938</v>
      </c>
      <c r="D124" s="24" t="s">
        <v>289</v>
      </c>
      <c r="E124" s="95">
        <f>+('DOE25'!L287)+('DOE25'!L306)+('DOE25'!L325)</f>
        <v>3961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137407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4171782</v>
      </c>
      <c r="D128" s="86">
        <f>SUM(D118:D127)</f>
        <v>137407</v>
      </c>
      <c r="E128" s="86">
        <f>SUM(E118:E127)</f>
        <v>23172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27300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76165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76000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27300</v>
      </c>
    </row>
    <row r="145" spans="1:9" ht="12.75" thickTop="1" thickBot="1" x14ac:dyDescent="0.25">
      <c r="A145" s="33" t="s">
        <v>244</v>
      </c>
      <c r="C145" s="86">
        <f>(C115+C128+C144)</f>
        <v>10190068</v>
      </c>
      <c r="D145" s="86">
        <f>(D115+D128+D144)</f>
        <v>137407</v>
      </c>
      <c r="E145" s="86">
        <f>(E115+E128+E144)</f>
        <v>200601</v>
      </c>
      <c r="F145" s="86">
        <f>(F115+F128+F144)</f>
        <v>0</v>
      </c>
      <c r="G145" s="86">
        <f>(G115+G128+G144)</f>
        <v>27300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3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SUNAPEE SCHOOL DISTRICT SAU85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18681</v>
      </c>
    </row>
    <row r="5" spans="1:4" x14ac:dyDescent="0.2">
      <c r="B5" t="s">
        <v>704</v>
      </c>
      <c r="C5" s="179">
        <f>IF('DOE25'!G665+'DOE25'!G670=0,0,ROUND('DOE25'!G672,0))</f>
        <v>25170</v>
      </c>
    </row>
    <row r="6" spans="1:4" x14ac:dyDescent="0.2">
      <c r="B6" t="s">
        <v>62</v>
      </c>
      <c r="C6" s="179">
        <f>IF('DOE25'!H665+'DOE25'!H670=0,0,ROUND('DOE25'!H672,0))</f>
        <v>21667</v>
      </c>
    </row>
    <row r="7" spans="1:4" x14ac:dyDescent="0.2">
      <c r="B7" t="s">
        <v>705</v>
      </c>
      <c r="C7" s="179">
        <f>IF('DOE25'!I665+'DOE25'!I670=0,0,ROUND('DOE25'!I672,0))</f>
        <v>21276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3972268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1902046</v>
      </c>
      <c r="D11" s="182">
        <f>ROUND((C11/$C$28)*100,1)</f>
        <v>18.3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245401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686673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774699</v>
      </c>
      <c r="D16" s="182">
        <f t="shared" si="0"/>
        <v>7.5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337188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572769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1266726</v>
      </c>
      <c r="D20" s="182">
        <f t="shared" si="0"/>
        <v>12.2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556899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62050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10376719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10376719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6713490</v>
      </c>
      <c r="D35" s="182">
        <f t="shared" ref="D35:D40" si="1">ROUND((C35/$C$41)*100,1)</f>
        <v>64.400000000000006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197375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2977975</v>
      </c>
      <c r="D37" s="182">
        <f t="shared" si="1"/>
        <v>28.6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193050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348075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10429965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SUNAPEE SCHOOL DISTRICT SAU85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912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 t="s">
        <v>913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2014-10-24T15:20:19Z</cp:lastPrinted>
  <dcterms:created xsi:type="dcterms:W3CDTF">1997-12-04T19:04:30Z</dcterms:created>
  <dcterms:modified xsi:type="dcterms:W3CDTF">2014-12-05T17:42:58Z</dcterms:modified>
</cp:coreProperties>
</file>