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158" i="1" l="1"/>
  <c r="I507" i="1" l="1"/>
  <c r="F498" i="1"/>
  <c r="F495" i="1"/>
  <c r="F579" i="1" l="1"/>
  <c r="H575" i="1"/>
  <c r="H531" i="1" l="1"/>
  <c r="G531" i="1"/>
  <c r="H468" i="1" l="1"/>
  <c r="G472" i="1"/>
  <c r="F472" i="1"/>
  <c r="F468" i="1"/>
  <c r="F368" i="1"/>
  <c r="F367" i="1"/>
  <c r="H281" i="1"/>
  <c r="H204" i="1"/>
  <c r="H208" i="1"/>
  <c r="H244" i="1"/>
  <c r="H233" i="1"/>
  <c r="G97" i="1"/>
  <c r="F110" i="1"/>
  <c r="F50" i="1"/>
  <c r="F12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L279" i="1"/>
  <c r="E112" i="2" s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H25" i="13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6" i="10"/>
  <c r="C17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H661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K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C81" i="2" s="1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1" i="2" s="1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C112" i="2"/>
  <c r="C113" i="2"/>
  <c r="E113" i="2"/>
  <c r="C114" i="2"/>
  <c r="E114" i="2"/>
  <c r="D115" i="2"/>
  <c r="F115" i="2"/>
  <c r="G115" i="2"/>
  <c r="E118" i="2"/>
  <c r="E128" i="2" s="1"/>
  <c r="E119" i="2"/>
  <c r="E120" i="2"/>
  <c r="E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F461" i="1" s="1"/>
  <c r="H639" i="1" s="1"/>
  <c r="J639" i="1" s="1"/>
  <c r="G460" i="1"/>
  <c r="H460" i="1"/>
  <c r="G461" i="1"/>
  <c r="H640" i="1" s="1"/>
  <c r="H461" i="1"/>
  <c r="F470" i="1"/>
  <c r="H470" i="1"/>
  <c r="I470" i="1"/>
  <c r="J470" i="1"/>
  <c r="F474" i="1"/>
  <c r="G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3" i="1"/>
  <c r="G624" i="1"/>
  <c r="G625" i="1"/>
  <c r="H627" i="1"/>
  <c r="H629" i="1"/>
  <c r="H630" i="1"/>
  <c r="H631" i="1"/>
  <c r="H632" i="1"/>
  <c r="G634" i="1"/>
  <c r="H635" i="1"/>
  <c r="H636" i="1"/>
  <c r="H637" i="1"/>
  <c r="H638" i="1"/>
  <c r="G639" i="1"/>
  <c r="G641" i="1"/>
  <c r="H641" i="1"/>
  <c r="G643" i="1"/>
  <c r="H643" i="1"/>
  <c r="G644" i="1"/>
  <c r="H644" i="1"/>
  <c r="G645" i="1"/>
  <c r="H645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28" i="1"/>
  <c r="L351" i="1"/>
  <c r="A31" i="12"/>
  <c r="C70" i="2"/>
  <c r="A40" i="12"/>
  <c r="D62" i="2"/>
  <c r="D63" i="2" s="1"/>
  <c r="D18" i="13"/>
  <c r="C18" i="13" s="1"/>
  <c r="D7" i="13"/>
  <c r="C7" i="13" s="1"/>
  <c r="D18" i="2"/>
  <c r="D17" i="13"/>
  <c r="C17" i="13" s="1"/>
  <c r="F78" i="2"/>
  <c r="F81" i="2" s="1"/>
  <c r="D50" i="2"/>
  <c r="G157" i="2"/>
  <c r="F18" i="2"/>
  <c r="G161" i="2"/>
  <c r="G156" i="2"/>
  <c r="E103" i="2"/>
  <c r="E62" i="2"/>
  <c r="E63" i="2" s="1"/>
  <c r="G62" i="2"/>
  <c r="D19" i="13"/>
  <c r="C19" i="13" s="1"/>
  <c r="E13" i="13"/>
  <c r="C13" i="13" s="1"/>
  <c r="E78" i="2"/>
  <c r="E81" i="2" s="1"/>
  <c r="L427" i="1"/>
  <c r="H112" i="1"/>
  <c r="J641" i="1"/>
  <c r="K605" i="1"/>
  <c r="G648" i="1" s="1"/>
  <c r="J571" i="1"/>
  <c r="K571" i="1"/>
  <c r="L433" i="1"/>
  <c r="L419" i="1"/>
  <c r="I169" i="1"/>
  <c r="H169" i="1"/>
  <c r="G552" i="1"/>
  <c r="J644" i="1"/>
  <c r="J643" i="1"/>
  <c r="J476" i="1"/>
  <c r="H626" i="1" s="1"/>
  <c r="F476" i="1"/>
  <c r="H622" i="1" s="1"/>
  <c r="I476" i="1"/>
  <c r="H625" i="1" s="1"/>
  <c r="J625" i="1" s="1"/>
  <c r="F169" i="1"/>
  <c r="J140" i="1"/>
  <c r="F571" i="1"/>
  <c r="I552" i="1"/>
  <c r="K550" i="1"/>
  <c r="G22" i="2"/>
  <c r="K545" i="1"/>
  <c r="J552" i="1"/>
  <c r="C29" i="10"/>
  <c r="H140" i="1"/>
  <c r="L401" i="1"/>
  <c r="C139" i="2" s="1"/>
  <c r="L393" i="1"/>
  <c r="F22" i="13"/>
  <c r="H571" i="1"/>
  <c r="L560" i="1"/>
  <c r="J545" i="1"/>
  <c r="H338" i="1"/>
  <c r="H352" i="1" s="1"/>
  <c r="G192" i="1"/>
  <c r="H192" i="1"/>
  <c r="F552" i="1"/>
  <c r="C35" i="10"/>
  <c r="L309" i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C22" i="13"/>
  <c r="C138" i="2"/>
  <c r="C16" i="13"/>
  <c r="A13" i="12" l="1"/>
  <c r="K552" i="1"/>
  <c r="I460" i="1"/>
  <c r="I461" i="1" s="1"/>
  <c r="H642" i="1" s="1"/>
  <c r="I446" i="1"/>
  <c r="G642" i="1" s="1"/>
  <c r="J640" i="1"/>
  <c r="K598" i="1"/>
  <c r="G647" i="1" s="1"/>
  <c r="J651" i="1"/>
  <c r="J634" i="1"/>
  <c r="I661" i="1"/>
  <c r="D145" i="2"/>
  <c r="D29" i="13"/>
  <c r="C29" i="13" s="1"/>
  <c r="L290" i="1"/>
  <c r="L338" i="1" s="1"/>
  <c r="L352" i="1" s="1"/>
  <c r="C15" i="10"/>
  <c r="E109" i="2"/>
  <c r="E115" i="2" s="1"/>
  <c r="E145" i="2" s="1"/>
  <c r="C25" i="13"/>
  <c r="H33" i="13"/>
  <c r="C132" i="2"/>
  <c r="L247" i="1"/>
  <c r="H660" i="1" s="1"/>
  <c r="H664" i="1" s="1"/>
  <c r="C21" i="10"/>
  <c r="D15" i="13"/>
  <c r="C15" i="13" s="1"/>
  <c r="H647" i="1"/>
  <c r="C124" i="2"/>
  <c r="J647" i="1"/>
  <c r="F662" i="1"/>
  <c r="I662" i="1" s="1"/>
  <c r="C123" i="2"/>
  <c r="D12" i="13"/>
  <c r="C12" i="13" s="1"/>
  <c r="C121" i="2"/>
  <c r="C18" i="10"/>
  <c r="E8" i="13"/>
  <c r="C8" i="13" s="1"/>
  <c r="D6" i="13"/>
  <c r="C6" i="13" s="1"/>
  <c r="C118" i="2"/>
  <c r="C11" i="10"/>
  <c r="H257" i="1"/>
  <c r="H271" i="1" s="1"/>
  <c r="C10" i="10"/>
  <c r="D5" i="13"/>
  <c r="C5" i="13" s="1"/>
  <c r="C109" i="2"/>
  <c r="C115" i="2" s="1"/>
  <c r="L211" i="1"/>
  <c r="L257" i="1" s="1"/>
  <c r="L271" i="1" s="1"/>
  <c r="G632" i="1" s="1"/>
  <c r="J632" i="1" s="1"/>
  <c r="C62" i="2"/>
  <c r="F112" i="1"/>
  <c r="C36" i="10" s="1"/>
  <c r="C63" i="2"/>
  <c r="C104" i="2" s="1"/>
  <c r="H52" i="1"/>
  <c r="H619" i="1" s="1"/>
  <c r="E3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667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G571" i="1"/>
  <c r="I434" i="1"/>
  <c r="G434" i="1"/>
  <c r="E104" i="2"/>
  <c r="I663" i="1"/>
  <c r="C27" i="10"/>
  <c r="G635" i="1"/>
  <c r="J635" i="1" s="1"/>
  <c r="J642" i="1" l="1"/>
  <c r="G633" i="1"/>
  <c r="H472" i="1"/>
  <c r="D31" i="13"/>
  <c r="C31" i="13" s="1"/>
  <c r="C144" i="2"/>
  <c r="H667" i="1"/>
  <c r="H672" i="1"/>
  <c r="C6" i="10" s="1"/>
  <c r="C128" i="2"/>
  <c r="E33" i="13"/>
  <c r="D35" i="13" s="1"/>
  <c r="F660" i="1"/>
  <c r="F664" i="1" s="1"/>
  <c r="F672" i="1" s="1"/>
  <c r="C4" i="10" s="1"/>
  <c r="C28" i="10"/>
  <c r="D24" i="10" s="1"/>
  <c r="F193" i="1"/>
  <c r="G627" i="1" s="1"/>
  <c r="J627" i="1" s="1"/>
  <c r="G631" i="1"/>
  <c r="J631" i="1" s="1"/>
  <c r="J646" i="1"/>
  <c r="G193" i="1"/>
  <c r="G626" i="1"/>
  <c r="J626" i="1" s="1"/>
  <c r="J52" i="1"/>
  <c r="H621" i="1" s="1"/>
  <c r="J621" i="1" s="1"/>
  <c r="C38" i="10"/>
  <c r="G628" i="1" l="1"/>
  <c r="G468" i="1"/>
  <c r="J633" i="1"/>
  <c r="H633" i="1"/>
  <c r="H474" i="1"/>
  <c r="H476" i="1" s="1"/>
  <c r="H624" i="1" s="1"/>
  <c r="J624" i="1" s="1"/>
  <c r="D33" i="13"/>
  <c r="D36" i="13" s="1"/>
  <c r="C145" i="2"/>
  <c r="D11" i="10"/>
  <c r="D21" i="10"/>
  <c r="D22" i="10"/>
  <c r="D13" i="10"/>
  <c r="D27" i="10"/>
  <c r="D18" i="10"/>
  <c r="D17" i="10"/>
  <c r="D12" i="10"/>
  <c r="D10" i="10"/>
  <c r="D26" i="10"/>
  <c r="C30" i="10"/>
  <c r="D16" i="10"/>
  <c r="D23" i="10"/>
  <c r="D20" i="10"/>
  <c r="D15" i="10"/>
  <c r="D25" i="10"/>
  <c r="D19" i="10"/>
  <c r="F667" i="1"/>
  <c r="I660" i="1"/>
  <c r="I664" i="1" s="1"/>
  <c r="I672" i="1" s="1"/>
  <c r="C7" i="10" s="1"/>
  <c r="C41" i="10"/>
  <c r="D38" i="10" s="1"/>
  <c r="H628" i="1" l="1"/>
  <c r="J628" i="1" s="1"/>
  <c r="G470" i="1"/>
  <c r="G476" i="1" s="1"/>
  <c r="H623" i="1" s="1"/>
  <c r="J623" i="1" s="1"/>
  <c r="I667" i="1"/>
  <c r="D28" i="10"/>
  <c r="D37" i="10"/>
  <c r="D36" i="10"/>
  <c r="D35" i="10"/>
  <c r="D40" i="10"/>
  <c r="D39" i="10"/>
  <c r="D41" i="10" l="1"/>
  <c r="C49" i="2"/>
  <c r="C50" i="2" s="1"/>
  <c r="C51" i="2" s="1"/>
  <c r="F52" i="1"/>
  <c r="H617" i="1" s="1"/>
  <c r="J617" i="1" s="1"/>
  <c r="F51" i="1"/>
  <c r="G622" i="1"/>
  <c r="H656" i="1" s="1"/>
  <c r="J622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<sst xmlns="http://schemas.openxmlformats.org/spreadsheetml/2006/main" count="3958" uniqueCount="916">
  <si>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</si>
  <si>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</si>
  <si>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</si>
  <si>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</si>
  <si>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</si>
  <si>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</si>
  <si>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</si>
  <si>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</si>
  <si>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</si>
  <si>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</si>
  <si>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</si>
  <si>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</si>
  <si>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</si>
  <si>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</si>
  <si>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</si>
  <si>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</si>
  <si>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</si>
  <si>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</si>
  <si>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</si>
  <si>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</si>
  <si>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</si>
  <si>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</si>
  <si>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</si>
  <si>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</si>
  <si>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</si>
  <si>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</si>
  <si>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</si>
  <si>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</si>
  <si>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</si>
  <si>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</si>
  <si>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</si>
  <si>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</si>
  <si>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</si>
  <si>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</si>
  <si>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</si>
  <si>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</si>
  <si>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</si>
  <si>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</si>
  <si>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</si>
  <si>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</si>
  <si>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</si>
  <si>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</si>
  <si>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</si>
  <si>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</si>
  <si>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</si>
  <si>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</si>
  <si>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</si>
  <si>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</si>
  <si>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</si>
  <si>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</si>
  <si>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</si>
  <si>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</si>
  <si>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</si>
  <si>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</si>
  <si>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</si>
  <si>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</si>
  <si>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</si>
  <si>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</si>
  <si>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</si>
  <si>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</si>
  <si>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</si>
  <si>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</si>
  <si>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</si>
  <si>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</si>
  <si>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</si>
  <si>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</si>
  <si>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</si>
  <si>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</si>
  <si>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</si>
  <si>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</si>
  <si>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</si>
  <si>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</si>
  <si>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</si>
  <si>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</si>
  <si>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</si>
  <si>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</si>
  <si>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</si>
  <si>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</si>
  <si>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</si>
  <si>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</si>
  <si>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</si>
  <si>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</si>
  <si>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</si>
  <si>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</si>
  <si>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</si>
  <si>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</si>
  <si>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</si>
  <si>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</si>
  <si>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</si>
  <si>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</si>
  <si>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</si>
  <si>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</si>
  <si>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</si>
  <si>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</si>
  <si>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</si>
  <si>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</si>
  <si>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</si>
  <si>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</si>
  <si>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</si>
  <si>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</si>
  <si>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</si>
  <si>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</si>
  <si>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</si>
  <si>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</si>
  <si>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</si>
  <si>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</si>
  <si>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</si>
  <si>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</si>
  <si>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</si>
  <si>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</si>
  <si>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</si>
  <si>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</si>
  <si>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</si>
  <si>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</si>
  <si>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</si>
  <si>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</si>
  <si>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</si>
  <si>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</si>
  <si>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</si>
  <si>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</si>
  <si>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</si>
  <si>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</si>
  <si>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</si>
  <si>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</si>
  <si>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</si>
  <si>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</si>
  <si>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</si>
  <si>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</si>
  <si>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</si>
  <si>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</si>
  <si>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</si>
  <si>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</si>
  <si>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</si>
  <si>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</si>
  <si>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</si>
  <si>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</si>
  <si>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</si>
  <si>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</si>
  <si>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</si>
  <si>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</si>
  <si>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</si>
  <si>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</si>
  <si>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</si>
  <si>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</si>
  <si>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</si>
  <si>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</si>
  <si>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</si>
  <si>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</si>
  <si>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</si>
  <si>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</si>
  <si>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</si>
  <si>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</si>
  <si>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</si>
  <si>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</si>
  <si>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</si>
  <si>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</si>
  <si>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</si>
  <si>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</si>
  <si>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</si>
  <si>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</si>
  <si>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</si>
  <si>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</si>
  <si>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</si>
  <si>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</si>
  <si>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</si>
  <si>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</si>
  <si>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</si>
  <si>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</si>
  <si>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</si>
  <si>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</si>
  <si>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</si>
  <si>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</si>
  <si>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</si>
  <si>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</si>
  <si>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</si>
  <si>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</si>
  <si>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</si>
  <si>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</si>
  <si>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</si>
  <si>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</si>
  <si>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</si>
  <si>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</si>
  <si>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</si>
  <si>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</si>
  <si>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</si>
  <si>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</si>
  <si>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</si>
  <si>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</si>
  <si>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</si>
  <si>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</si>
  <si>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</si>
  <si>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</si>
  <si>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</si>
  <si>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</si>
  <si>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</si>
  <si>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</si>
  <si>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</si>
  <si>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</si>
  <si>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</si>
  <si>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</si>
  <si>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</si>
  <si>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</si>
  <si>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</si>
  <si>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</si>
  <si>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</si>
  <si>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</si>
  <si>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</si>
  <si>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</si>
  <si>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</si>
  <si>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</si>
  <si>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</si>
  <si>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</si>
  <si>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</si>
  <si>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</si>
  <si>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</si>
  <si>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</si>
  <si>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</si>
  <si>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</si>
  <si>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</si>
  <si>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</si>
  <si>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</si>
  <si>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</si>
  <si>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</si>
  <si>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</si>
  <si>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</si>
  <si>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</si>
  <si>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</si>
  <si>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</si>
  <si>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</si>
  <si>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</si>
  <si>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</si>
  <si>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</si>
  <si>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</si>
  <si>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</si>
  <si>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</si>
  <si>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</si>
  <si>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</si>
  <si>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</si>
  <si>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</si>
  <si>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</si>
  <si>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</si>
  <si>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</si>
  <si>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</si>
  <si>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</si>
  <si>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</si>
  <si>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</si>
  <si>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</si>
  <si>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</si>
  <si>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</si>
  <si>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</si>
  <si>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</si>
  <si>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</si>
  <si>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</si>
  <si>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</si>
  <si>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</si>
  <si>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</si>
  <si>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</si>
  <si>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</si>
  <si>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</si>
  <si>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</si>
  <si>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</si>
  <si>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</si>
  <si>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</si>
  <si>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</si>
  <si>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</si>
  <si>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</si>
  <si>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</si>
  <si>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</si>
  <si>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</si>
  <si>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</si>
  <si>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</si>
  <si>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</si>
  <si>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</si>
  <si>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</si>
  <si>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</si>
  <si>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</si>
  <si>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</si>
  <si>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</si>
  <si>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</si>
  <si>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</si>
  <si>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</si>
  <si>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</si>
  <si>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</si>
  <si>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</si>
  <si>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</si>
  <si>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</si>
  <si>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</si>
  <si>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</si>
  <si>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</si>
  <si>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</si>
  <si>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</si>
  <si>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</si>
  <si>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</si>
  <si>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</si>
  <si>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</si>
  <si>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</si>
  <si>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</si>
  <si>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</si>
  <si>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</si>
  <si>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</si>
  <si>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</si>
  <si>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</si>
  <si>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</si>
  <si>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</si>
  <si>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</si>
  <si>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</si>
  <si>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</si>
  <si>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</si>
  <si>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</si>
  <si>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</si>
  <si>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</si>
  <si>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</si>
  <si>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</si>
  <si>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</si>
  <si>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</si>
  <si>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</si>
  <si>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</si>
  <si>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</si>
  <si>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</si>
  <si>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</si>
  <si>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</si>
  <si>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</si>
  <si>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</si>
  <si>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</si>
  <si>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</si>
  <si>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</si>
  <si>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</si>
  <si>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</si>
  <si>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</si>
  <si>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</si>
  <si>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</si>
  <si>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</si>
  <si>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</si>
  <si>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</si>
  <si>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</si>
  <si>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</si>
  <si>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</si>
  <si>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</si>
  <si>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</si>
  <si>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</si>
  <si>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</si>
  <si>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</si>
  <si>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</si>
  <si>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</si>
  <si>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</si>
  <si>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</si>
  <si>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</si>
  <si>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</si>
  <si>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</si>
  <si>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</si>
  <si>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</si>
  <si>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</si>
  <si>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</si>
  <si>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</si>
  <si>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</si>
  <si>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</si>
  <si>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</si>
  <si>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</si>
  <si>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</si>
  <si>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</si>
  <si>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</si>
  <si>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</si>
  <si>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</si>
  <si>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</si>
  <si>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</si>
  <si>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</si>
  <si>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</si>
  <si>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</si>
  <si>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</si>
  <si>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</si>
  <si>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</si>
  <si>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</si>
  <si>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</si>
  <si>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</si>
  <si>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</si>
  <si>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</si>
  <si>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</si>
  <si>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</si>
  <si>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</si>
  <si>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</si>
  <si>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</si>
  <si>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</si>
  <si>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</si>
  <si>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</si>
  <si>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</si>
  <si>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</si>
  <si>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</si>
  <si>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</si>
  <si>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</si>
  <si>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</si>
  <si>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</si>
  <si>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</si>
  <si>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</si>
  <si>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</si>
  <si>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</si>
  <si>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</si>
  <si>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</si>
  <si>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</si>
  <si>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</si>
  <si>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</si>
  <si>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</si>
  <si>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</si>
  <si>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</si>
  <si>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</si>
  <si>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</si>
  <si>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</si>
  <si>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</si>
  <si>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</si>
  <si>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</si>
  <si>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</si>
  <si>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</si>
  <si>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</si>
  <si>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</si>
  <si>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</si>
  <si>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</si>
  <si>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</si>
  <si>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</si>
  <si>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</si>
  <si>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</si>
  <si>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</si>
  <si>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</si>
  <si>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</si>
  <si>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</si>
  <si>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</si>
  <si>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</si>
  <si>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</si>
  <si>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</si>
  <si>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</si>
  <si>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</si>
  <si>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</si>
  <si>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</si>
  <si>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</si>
  <si>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</si>
  <si>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</si>
  <si>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</si>
  <si>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</si>
  <si>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</si>
  <si>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</si>
  <si>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</si>
  <si>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</si>
  <si>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</si>
  <si>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</si>
  <si>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</si>
  <si>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</si>
  <si>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</si>
  <si>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</si>
  <si>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</si>
  <si>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</si>
  <si>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</si>
  <si>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</si>
  <si>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</si>
  <si>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</si>
  <si>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</si>
  <si>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</si>
  <si>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</si>
  <si>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</si>
  <si>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</si>
  <si>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</si>
  <si>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</si>
  <si>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</si>
  <si>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</si>
  <si>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</si>
  <si>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</si>
  <si>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</si>
  <si>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</si>
  <si>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</si>
  <si>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</si>
  <si>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</si>
  <si>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</si>
  <si>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</si>
  <si>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</si>
  <si>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</si>
  <si>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</si>
  <si>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</si>
  <si>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</si>
  <si>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</si>
  <si>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</si>
  <si>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</si>
  <si>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</si>
  <si>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</si>
  <si>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</si>
  <si>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</si>
  <si>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</si>
  <si>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</si>
  <si>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</si>
  <si>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</si>
  <si>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</si>
  <si>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</si>
  <si>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</si>
  <si>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</si>
  <si>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</si>
  <si>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</si>
  <si>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</si>
  <si>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</si>
  <si>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</si>
  <si>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</si>
  <si>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</si>
  <si>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</si>
  <si>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</si>
  <si>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</si>
  <si>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</si>
  <si>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</si>
  <si>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</si>
  <si>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</si>
  <si>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</si>
  <si>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</si>
  <si>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</si>
  <si>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</si>
  <si>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</si>
  <si>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</si>
  <si>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</si>
  <si>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</si>
  <si>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</si>
  <si>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</si>
  <si>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</si>
  <si>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</si>
  <si>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</si>
  <si>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</si>
  <si>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</si>
  <si>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</si>
  <si>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</si>
  <si>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</si>
  <si>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</si>
  <si>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</si>
  <si>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</si>
  <si>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</si>
  <si>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</si>
  <si>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</si>
  <si>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</si>
  <si>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</si>
  <si>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</si>
  <si>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</si>
  <si>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</si>
  <si>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</si>
  <si>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</si>
  <si>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</si>
  <si>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</si>
  <si>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</si>
  <si>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</si>
  <si>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</si>
  <si>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</si>
  <si>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</si>
  <si>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</si>
  <si>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</si>
  <si>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</si>
  <si>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</si>
  <si>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</si>
  <si>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</si>
  <si>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</si>
  <si>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</si>
  <si>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</si>
  <si>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</si>
  <si>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</si>
  <si>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</si>
  <si>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</si>
  <si>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</si>
  <si>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</si>
  <si>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</si>
  <si>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</si>
  <si>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</si>
  <si>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</si>
  <si>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</si>
  <si>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</si>
  <si>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</si>
  <si>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</si>
  <si>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</si>
  <si>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</si>
  <si>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</si>
  <si>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</si>
  <si>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</si>
  <si>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</si>
  <si>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</si>
  <si>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</si>
  <si>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</si>
  <si>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</si>
  <si>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</si>
  <si>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</si>
  <si>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</si>
  <si>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</si>
  <si>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</si>
  <si>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</si>
  <si>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</si>
  <si>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</si>
  <si>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</si>
  <si>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</si>
  <si>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</si>
  <si>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</si>
  <si>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</si>
  <si>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</si>
  <si>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</si>
  <si>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</si>
  <si>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</si>
  <si>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</si>
  <si>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</si>
  <si>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</si>
  <si>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</si>
  <si>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</si>
  <si>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</si>
  <si>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</si>
  <si>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</si>
  <si>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</si>
  <si>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</si>
  <si>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</si>
  <si>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</si>
  <si>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</si>
  <si>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</si>
  <si>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</si>
  <si>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</si>
  <si>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</si>
  <si>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</si>
  <si>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</si>
  <si>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</si>
  <si>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</si>
  <si>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</si>
  <si>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</si>
  <si>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</si>
  <si>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</si>
  <si>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</si>
  <si>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</si>
  <si>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</si>
  <si>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</si>
  <si>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</si>
  <si>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</si>
  <si>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</si>
  <si>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</si>
  <si>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</si>
  <si>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</si>
  <si>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</si>
  <si>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</si>
  <si>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</si>
  <si>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</si>
  <si>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</si>
  <si>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</si>
  <si>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</si>
  <si>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</si>
  <si>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</si>
  <si>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</si>
  <si>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</si>
  <si>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</si>
  <si>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</si>
  <si>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</si>
  <si>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</si>
  <si>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</si>
  <si>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</si>
  <si>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</si>
  <si>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</si>
  <si>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</si>
  <si>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</si>
  <si>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</si>
  <si>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</si>
  <si>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</si>
  <si>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</si>
  <si>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</si>
  <si>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</si>
  <si>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</si>
  <si>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</si>
  <si>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</si>
  <si>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</si>
  <si>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</si>
  <si>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</si>
  <si>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</si>
  <si>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</si>
  <si>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</si>
  <si>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</si>
  <si>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</si>
  <si>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</si>
  <si>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</si>
  <si>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</si>
  <si>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</si>
  <si>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</si>
  <si>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</si>
  <si>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</si>
  <si>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</si>
  <si>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</si>
  <si>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</si>
  <si>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</si>
  <si>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</si>
  <si>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</si>
  <si>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</si>
  <si>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</si>
  <si>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</si>
  <si>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</si>
  <si>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</si>
  <si>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</si>
  <si>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</si>
  <si>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</si>
  <si>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</si>
  <si>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</si>
  <si>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</si>
  <si>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</si>
  <si>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</si>
  <si>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</si>
  <si>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</si>
  <si>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</si>
  <si>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</si>
  <si>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</si>
  <si>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</si>
  <si>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</si>
  <si>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</si>
  <si>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</si>
  <si>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</si>
  <si>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</si>
  <si>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</si>
  <si>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</si>
  <si>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</si>
  <si>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</si>
  <si>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</si>
  <si>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</si>
  <si>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</si>
  <si>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</si>
  <si>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</si>
  <si>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</si>
  <si>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</si>
  <si>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</si>
  <si>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</si>
  <si>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</si>
  <si>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</si>
  <si>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</si>
  <si>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</si>
  <si>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</si>
  <si>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</si>
  <si>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</si>
  <si>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</si>
  <si>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</si>
  <si>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</si>
  <si>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</si>
  <si>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</si>
  <si>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</si>
  <si>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</si>
  <si>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</si>
  <si>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</si>
  <si>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</si>
  <si>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</si>
  <si>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</si>
  <si>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</si>
  <si>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</si>
  <si>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</si>
  <si>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</si>
  <si>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</si>
  <si>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</si>
  <si>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</si>
  <si>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</si>
  <si>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</si>
  <si>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</si>
  <si>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</si>
  <si>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</si>
  <si>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</si>
  <si>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</si>
  <si>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</si>
  <si>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</si>
  <si>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</si>
  <si>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</si>
  <si>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</si>
  <si>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</si>
  <si>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</si>
  <si>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</si>
  <si>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</si>
  <si>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</si>
  <si>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</si>
  <si>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</si>
  <si>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</si>
  <si>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</si>
  <si>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</si>
  <si>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</si>
  <si>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</si>
  <si>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</si>
  <si>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</si>
  <si>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</si>
  <si>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</si>
  <si>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</si>
  <si>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</si>
  <si>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</si>
  <si>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</si>
  <si>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</si>
  <si>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</si>
  <si>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</si>
  <si>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</si>
  <si>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</si>
  <si>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</si>
  <si>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</si>
  <si>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</si>
  <si>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</si>
  <si>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</si>
  <si>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</si>
  <si>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</si>
  <si>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</si>
  <si>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</si>
  <si>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</si>
  <si>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</si>
  <si>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</si>
  <si>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</si>
  <si>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</si>
  <si>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</si>
  <si>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</si>
  <si>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</si>
  <si>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</si>
  <si>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</si>
  <si>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</si>
  <si>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</si>
  <si>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</si>
  <si>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</si>
  <si>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</si>
  <si>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</si>
  <si>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</si>
  <si>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</si>
  <si>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</si>
  <si>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</si>
  <si>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</si>
  <si>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</si>
  <si>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</si>
  <si>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</si>
  <si>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</si>
  <si>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</si>
  <si>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</si>
  <si>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</si>
  <si>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</si>
  <si>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</si>
  <si>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</si>
  <si>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</si>
  <si>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</si>
  <si>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</si>
  <si>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</si>
  <si>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</si>
  <si>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</si>
  <si>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</si>
  <si>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</si>
  <si>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</si>
  <si>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</si>
  <si>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</si>
  <si>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</si>
  <si>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</si>
  <si>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</si>
  <si>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</si>
  <si>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</si>
  <si>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</si>
  <si>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</si>
  <si>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</si>
  <si>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</si>
  <si>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</si>
  <si>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</si>
  <si>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</si>
  <si>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</si>
  <si>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</si>
  <si>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</si>
  <si>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</si>
  <si>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</si>
  <si>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</si>
  <si>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</si>
  <si>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</si>
  <si>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</si>
  <si>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</si>
  <si>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</si>
  <si>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</si>
  <si>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</si>
  <si>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</si>
  <si>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</si>
  <si>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</si>
  <si>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</si>
  <si>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</si>
  <si>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</si>
  <si>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</si>
  <si>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</si>
  <si>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</si>
  <si>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</si>
  <si>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</si>
  <si>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</si>
  <si>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</si>
  <si>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</si>
  <si>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</si>
  <si>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</si>
  <si>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</si>
  <si>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</si>
  <si>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</si>
  <si>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</si>
  <si>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</si>
  <si>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</si>
  <si>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</si>
  <si>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</si>
  <si>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</si>
  <si>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</si>
  <si>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</si>
  <si>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</si>
  <si>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</si>
  <si>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</si>
  <si>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</si>
  <si>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</si>
  <si>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</si>
  <si>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</si>
  <si>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</si>
  <si>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</si>
  <si>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</si>
  <si>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</si>
  <si>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</si>
  <si>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</si>
  <si>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</si>
  <si>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</si>
  <si>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</si>
  <si>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</si>
  <si>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</si>
  <si>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</si>
  <si>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</si>
  <si>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</si>
  <si>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</si>
  <si>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</si>
  <si>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</si>
  <si>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</si>
  <si>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</si>
  <si>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</si>
  <si>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</si>
  <si>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</si>
  <si>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</si>
  <si>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Tamworth</t>
  </si>
  <si>
    <t>2003</t>
  </si>
  <si>
    <t>08/23</t>
  </si>
  <si>
    <t>The reduction in the amount of $34,108.91 resulted from the District audits being two years behind and staff changes</t>
  </si>
  <si>
    <t>the audits are now up to date and the amount resulted from prior period adjustments to the 6/30/12 reported balances.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</si>
</sst>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0" fontId="2" fillId="0" borderId="0" xfId="0" applyNumberFormat="1" applyFont="1" applyProtection="1">
      <protection locked="0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44" activePane="bottomRight" state="frozen"/>
      <selection pane="topRight" activeCell="F1" sqref="F1"/>
      <selection pane="bottomLeft" activeCell="A4" sqref="A4"/>
      <selection pane="bottomRight" activeCell="G158" sqref="G15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525</v>
      </c>
      <c r="C2" s="21">
        <v>525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88709.49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83040.92</v>
      </c>
      <c r="G10" s="18"/>
      <c r="H10" s="18"/>
      <c r="I10" s="18"/>
      <c r="J10" s="67">
        <f>SUM(I440)</f>
        <v>217612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18244.65+16802.57</f>
        <v>35047.22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28676.05</v>
      </c>
      <c r="G13" s="18">
        <v>8707.67</v>
      </c>
      <c r="H13" s="18">
        <v>36676.339999999997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50.47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235524.15</v>
      </c>
      <c r="G19" s="41">
        <f>SUM(G9:G18)</f>
        <v>8707.67</v>
      </c>
      <c r="H19" s="41">
        <f>SUM(H9:H18)</f>
        <v>36676.339999999997</v>
      </c>
      <c r="I19" s="41">
        <f>SUM(I9:I18)</f>
        <v>0</v>
      </c>
      <c r="J19" s="41">
        <f>SUM(J9:J18)</f>
        <v>217612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8707.67</v>
      </c>
      <c r="H22" s="18">
        <v>26339.55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58455.73</v>
      </c>
      <c r="G24" s="18"/>
      <c r="H24" s="18">
        <v>6083.81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4252.9799999999996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58455.73</v>
      </c>
      <c r="G32" s="41">
        <f>SUM(G22:G31)</f>
        <v>8707.67</v>
      </c>
      <c r="H32" s="41">
        <f>SUM(H22:H31)</f>
        <v>36676.339999999997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217612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22751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235524.15-111206.73</f>
        <v>124317.42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177068.41999999998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217612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235524.15</v>
      </c>
      <c r="G52" s="41">
        <f>G51+G32</f>
        <v>8707.67</v>
      </c>
      <c r="H52" s="41">
        <f>H51+H32</f>
        <v>36676.339999999997</v>
      </c>
      <c r="I52" s="41">
        <f>I51+I32</f>
        <v>0</v>
      </c>
      <c r="J52" s="41">
        <f>J51+J32</f>
        <v>217612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4432929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4432929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268.5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22471.32+2108.84</f>
        <v>24580.16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25044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62168.22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1447.8+23345.34</f>
        <v>24793.14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112273.86</v>
      </c>
      <c r="G111" s="41">
        <f>SUM(G96:G110)</f>
        <v>24580.16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4545202.8600000003</v>
      </c>
      <c r="G112" s="41">
        <f>G60+G111</f>
        <v>24580.16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696275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711973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1408248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49083.34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43762.42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301">
        <v>1373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92845.759999999995</v>
      </c>
      <c r="G136" s="41">
        <f>SUM(G123:G135)</f>
        <v>1373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1501093.76</v>
      </c>
      <c r="G140" s="41">
        <f>G121+SUM(G136:G137)</f>
        <v>1373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114735.81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14636.22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5847.47+57845.96+9642.64-1373</f>
        <v>71963.070000000007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78248.929999999993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78248.929999999993</v>
      </c>
      <c r="G162" s="41">
        <f>SUM(G150:G161)</f>
        <v>71963.070000000007</v>
      </c>
      <c r="H162" s="41">
        <f>SUM(H150:H161)</f>
        <v>129372.03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142.51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78391.439999999988</v>
      </c>
      <c r="G169" s="41">
        <f>G147+G162+SUM(G163:G168)</f>
        <v>71963.070000000007</v>
      </c>
      <c r="H169" s="41">
        <f>H147+H162+SUM(H163:H168)</f>
        <v>129372.03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27562.39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27562.39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27562.39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6124688.0600000005</v>
      </c>
      <c r="G193" s="47">
        <f>G112+G140+G169+G192</f>
        <v>125478.62000000001</v>
      </c>
      <c r="H193" s="47">
        <f>H112+H140+H169+H192</f>
        <v>129372.03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1347498.48</v>
      </c>
      <c r="G197" s="18">
        <v>604310.56999999995</v>
      </c>
      <c r="H197" s="18">
        <v>7892.92</v>
      </c>
      <c r="I197" s="18">
        <v>32139.61</v>
      </c>
      <c r="J197" s="18">
        <v>50475.83</v>
      </c>
      <c r="K197" s="18">
        <v>380</v>
      </c>
      <c r="L197" s="19">
        <f>SUM(F197:K197)</f>
        <v>2042697.41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422870.71</v>
      </c>
      <c r="G198" s="18">
        <v>258783.27</v>
      </c>
      <c r="H198" s="18">
        <v>195303</v>
      </c>
      <c r="I198" s="18">
        <v>554.23</v>
      </c>
      <c r="J198" s="18"/>
      <c r="K198" s="18"/>
      <c r="L198" s="19">
        <f>SUM(F198:K198)</f>
        <v>877511.21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18065.87</v>
      </c>
      <c r="G200" s="18">
        <v>2786.59</v>
      </c>
      <c r="H200" s="18">
        <v>7957.5</v>
      </c>
      <c r="I200" s="18">
        <v>1167.31</v>
      </c>
      <c r="J200" s="18"/>
      <c r="K200" s="18"/>
      <c r="L200" s="19">
        <f>SUM(F200:K200)</f>
        <v>29977.27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234644</v>
      </c>
      <c r="G202" s="18">
        <v>132384.75</v>
      </c>
      <c r="H202" s="18">
        <v>5675</v>
      </c>
      <c r="I202" s="18">
        <v>1681.54</v>
      </c>
      <c r="J202" s="18">
        <v>229.3</v>
      </c>
      <c r="K202" s="18"/>
      <c r="L202" s="19">
        <f t="shared" ref="L202:L208" si="0">SUM(F202:K202)</f>
        <v>374614.58999999997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72499.77</v>
      </c>
      <c r="G203" s="18">
        <v>22350.31</v>
      </c>
      <c r="H203" s="18">
        <v>18964.68</v>
      </c>
      <c r="I203" s="18">
        <v>2338.84</v>
      </c>
      <c r="J203" s="18"/>
      <c r="K203" s="18"/>
      <c r="L203" s="19">
        <f t="shared" si="0"/>
        <v>116153.60000000001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3250</v>
      </c>
      <c r="G204" s="18">
        <v>248.63</v>
      </c>
      <c r="H204" s="18">
        <f>241363.21+7000</f>
        <v>248363.21</v>
      </c>
      <c r="I204" s="18">
        <v>33.6</v>
      </c>
      <c r="J204" s="18"/>
      <c r="K204" s="18">
        <v>3342.89</v>
      </c>
      <c r="L204" s="19">
        <f t="shared" si="0"/>
        <v>255238.33000000002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131819.25</v>
      </c>
      <c r="G205" s="18">
        <v>72289.11</v>
      </c>
      <c r="H205" s="18">
        <v>7912.72</v>
      </c>
      <c r="I205" s="18">
        <v>1716.67</v>
      </c>
      <c r="J205" s="18"/>
      <c r="K205" s="18">
        <v>1086.72</v>
      </c>
      <c r="L205" s="19">
        <f t="shared" si="0"/>
        <v>214824.47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111887.93</v>
      </c>
      <c r="G207" s="18">
        <v>65129.31</v>
      </c>
      <c r="H207" s="18">
        <v>63889.64</v>
      </c>
      <c r="I207" s="18">
        <v>127096.63</v>
      </c>
      <c r="J207" s="18">
        <v>75429.62</v>
      </c>
      <c r="K207" s="18"/>
      <c r="L207" s="19">
        <f t="shared" si="0"/>
        <v>443433.13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29486.66+144960.95</f>
        <v>174447.61000000002</v>
      </c>
      <c r="I208" s="18"/>
      <c r="J208" s="18"/>
      <c r="K208" s="18"/>
      <c r="L208" s="19">
        <f t="shared" si="0"/>
        <v>174447.61000000002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2342536.0100000002</v>
      </c>
      <c r="G211" s="41">
        <f t="shared" si="1"/>
        <v>1158282.54</v>
      </c>
      <c r="H211" s="41">
        <f t="shared" si="1"/>
        <v>730406.27999999991</v>
      </c>
      <c r="I211" s="41">
        <f t="shared" si="1"/>
        <v>166728.43</v>
      </c>
      <c r="J211" s="41">
        <f t="shared" si="1"/>
        <v>126134.75</v>
      </c>
      <c r="K211" s="41">
        <f t="shared" si="1"/>
        <v>4809.6099999999997</v>
      </c>
      <c r="L211" s="41">
        <f t="shared" si="1"/>
        <v>4528897.620000001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1017032</f>
        <v>1017032</v>
      </c>
      <c r="I233" s="18"/>
      <c r="J233" s="18"/>
      <c r="K233" s="18"/>
      <c r="L233" s="19">
        <f>SUM(F233:K233)</f>
        <v>1017032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107673.89</v>
      </c>
      <c r="I234" s="18"/>
      <c r="J234" s="18"/>
      <c r="K234" s="18"/>
      <c r="L234" s="19">
        <f>SUM(F234:K234)</f>
        <v>107673.89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9015.16+63266.76</f>
        <v>72281.919999999998</v>
      </c>
      <c r="I244" s="18"/>
      <c r="J244" s="18"/>
      <c r="K244" s="18"/>
      <c r="L244" s="19">
        <f t="shared" si="4"/>
        <v>72281.919999999998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1196987.8099999998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1196987.8099999998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2342536.0100000002</v>
      </c>
      <c r="G257" s="41">
        <f t="shared" si="8"/>
        <v>1158282.54</v>
      </c>
      <c r="H257" s="41">
        <f t="shared" si="8"/>
        <v>1927394.0899999999</v>
      </c>
      <c r="I257" s="41">
        <f t="shared" si="8"/>
        <v>166728.43</v>
      </c>
      <c r="J257" s="41">
        <f t="shared" si="8"/>
        <v>126134.75</v>
      </c>
      <c r="K257" s="41">
        <f t="shared" si="8"/>
        <v>4809.6099999999997</v>
      </c>
      <c r="L257" s="41">
        <f t="shared" si="8"/>
        <v>5725885.4300000006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193074.12</v>
      </c>
      <c r="L260" s="19">
        <f>SUM(F260:K260)</f>
        <v>193074.12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73885.789999999994</v>
      </c>
      <c r="L261" s="19">
        <f>SUM(F261:K261)</f>
        <v>73885.789999999994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27562.39</v>
      </c>
      <c r="L263" s="19">
        <f>SUM(F263:K263)</f>
        <v>27562.39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294522.3</v>
      </c>
      <c r="L270" s="41">
        <f t="shared" si="9"/>
        <v>294522.3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2342536.0100000002</v>
      </c>
      <c r="G271" s="42">
        <f t="shared" si="11"/>
        <v>1158282.54</v>
      </c>
      <c r="H271" s="42">
        <f t="shared" si="11"/>
        <v>1927394.0899999999</v>
      </c>
      <c r="I271" s="42">
        <f t="shared" si="11"/>
        <v>166728.43</v>
      </c>
      <c r="J271" s="42">
        <f t="shared" si="11"/>
        <v>126134.75</v>
      </c>
      <c r="K271" s="42">
        <f t="shared" si="11"/>
        <v>299331.90999999997</v>
      </c>
      <c r="L271" s="42">
        <f t="shared" si="11"/>
        <v>6020407.7300000004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61275.56</v>
      </c>
      <c r="G276" s="18">
        <v>20218.310000000001</v>
      </c>
      <c r="H276" s="18"/>
      <c r="I276" s="18"/>
      <c r="J276" s="18">
        <v>1800</v>
      </c>
      <c r="K276" s="18"/>
      <c r="L276" s="19">
        <f>SUM(F276:K276)</f>
        <v>83293.87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862.5</v>
      </c>
      <c r="G277" s="18">
        <v>66.02</v>
      </c>
      <c r="H277" s="18"/>
      <c r="I277" s="18">
        <v>14807.39</v>
      </c>
      <c r="J277" s="18">
        <v>2750.3</v>
      </c>
      <c r="K277" s="18"/>
      <c r="L277" s="19">
        <f>SUM(F277:K277)</f>
        <v>18486.21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4993.75</v>
      </c>
      <c r="G279" s="18">
        <v>800.33</v>
      </c>
      <c r="H279" s="18"/>
      <c r="I279" s="18">
        <v>782.66</v>
      </c>
      <c r="J279" s="18"/>
      <c r="K279" s="18"/>
      <c r="L279" s="19">
        <f>SUM(F279:K279)</f>
        <v>6576.74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f>2208.48+3965.72</f>
        <v>6174.2</v>
      </c>
      <c r="I281" s="18">
        <v>1908.98</v>
      </c>
      <c r="J281" s="18"/>
      <c r="K281" s="18"/>
      <c r="L281" s="19">
        <f t="shared" ref="L281:L287" si="12">SUM(F281:K281)</f>
        <v>8083.18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12932.03</v>
      </c>
      <c r="I282" s="18"/>
      <c r="J282" s="18"/>
      <c r="K282" s="18"/>
      <c r="L282" s="19">
        <f t="shared" si="12"/>
        <v>12932.03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67131.81</v>
      </c>
      <c r="G290" s="42">
        <f t="shared" si="13"/>
        <v>21084.660000000003</v>
      </c>
      <c r="H290" s="42">
        <f t="shared" si="13"/>
        <v>19106.23</v>
      </c>
      <c r="I290" s="42">
        <f t="shared" si="13"/>
        <v>17499.03</v>
      </c>
      <c r="J290" s="42">
        <f t="shared" si="13"/>
        <v>4550.3</v>
      </c>
      <c r="K290" s="42">
        <f t="shared" si="13"/>
        <v>0</v>
      </c>
      <c r="L290" s="41">
        <f t="shared" si="13"/>
        <v>129372.03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67131.81</v>
      </c>
      <c r="G338" s="41">
        <f t="shared" si="20"/>
        <v>21084.660000000003</v>
      </c>
      <c r="H338" s="41">
        <f t="shared" si="20"/>
        <v>19106.23</v>
      </c>
      <c r="I338" s="41">
        <f t="shared" si="20"/>
        <v>17499.03</v>
      </c>
      <c r="J338" s="41">
        <f t="shared" si="20"/>
        <v>4550.3</v>
      </c>
      <c r="K338" s="41">
        <f t="shared" si="20"/>
        <v>0</v>
      </c>
      <c r="L338" s="41">
        <f t="shared" si="20"/>
        <v>129372.03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67131.81</v>
      </c>
      <c r="G352" s="41">
        <f>G338</f>
        <v>21084.660000000003</v>
      </c>
      <c r="H352" s="41">
        <f>H338</f>
        <v>19106.23</v>
      </c>
      <c r="I352" s="41">
        <f>I338</f>
        <v>17499.03</v>
      </c>
      <c r="J352" s="41">
        <f>J338</f>
        <v>4550.3</v>
      </c>
      <c r="K352" s="47">
        <f>K338+K351</f>
        <v>0</v>
      </c>
      <c r="L352" s="41">
        <f>L338+L351</f>
        <v>129372.03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37715.39</v>
      </c>
      <c r="G358" s="18">
        <v>3221.17</v>
      </c>
      <c r="H358" s="18">
        <v>28581.31</v>
      </c>
      <c r="I358" s="18">
        <v>52291.51</v>
      </c>
      <c r="J358" s="18">
        <v>3669.24</v>
      </c>
      <c r="K358" s="18"/>
      <c r="L358" s="13">
        <f>SUM(F358:K358)</f>
        <v>125478.62000000001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37715.39</v>
      </c>
      <c r="G362" s="47">
        <f t="shared" si="22"/>
        <v>3221.17</v>
      </c>
      <c r="H362" s="47">
        <f t="shared" si="22"/>
        <v>28581.31</v>
      </c>
      <c r="I362" s="47">
        <f t="shared" si="22"/>
        <v>52291.51</v>
      </c>
      <c r="J362" s="47">
        <f t="shared" si="22"/>
        <v>3669.24</v>
      </c>
      <c r="K362" s="47">
        <f t="shared" si="22"/>
        <v>0</v>
      </c>
      <c r="L362" s="47">
        <f t="shared" si="22"/>
        <v>125478.62000000001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35871.16+7196.43+5847.47</f>
        <v>48915.060000000005</v>
      </c>
      <c r="G367" s="18"/>
      <c r="H367" s="18"/>
      <c r="I367" s="56">
        <f>SUM(F367:H367)</f>
        <v>48915.060000000005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I358-F367</f>
        <v>3376.4499999999971</v>
      </c>
      <c r="G368" s="63"/>
      <c r="H368" s="63"/>
      <c r="I368" s="56">
        <f>SUM(F368:H368)</f>
        <v>3376.4499999999971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52291.51</v>
      </c>
      <c r="G369" s="47">
        <f>SUM(G367:G368)</f>
        <v>0</v>
      </c>
      <c r="H369" s="47">
        <f>SUM(H367:H368)</f>
        <v>0</v>
      </c>
      <c r="I369" s="47">
        <f>SUM(I367:I368)</f>
        <v>52291.51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217612</v>
      </c>
      <c r="H440" s="18"/>
      <c r="I440" s="56">
        <f t="shared" si="33"/>
        <v>217612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217612</v>
      </c>
      <c r="H446" s="13">
        <f>SUM(H439:H445)</f>
        <v>0</v>
      </c>
      <c r="I446" s="13">
        <f>SUM(I439:I445)</f>
        <v>217612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217612</v>
      </c>
      <c r="H459" s="18"/>
      <c r="I459" s="56">
        <f t="shared" si="34"/>
        <v>217612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217612</v>
      </c>
      <c r="H460" s="83">
        <f>SUM(H454:H459)</f>
        <v>0</v>
      </c>
      <c r="I460" s="83">
        <f>SUM(I454:I459)</f>
        <v>217612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217612</v>
      </c>
      <c r="H461" s="42">
        <f>H452+H460</f>
        <v>0</v>
      </c>
      <c r="I461" s="42">
        <f>I452+I460</f>
        <v>217612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106897</v>
      </c>
      <c r="G465" s="18">
        <v>0</v>
      </c>
      <c r="H465" s="18">
        <v>0</v>
      </c>
      <c r="I465" s="18"/>
      <c r="J465" s="18">
        <v>217612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6124688.0600000005</v>
      </c>
      <c r="G468" s="18">
        <f>G193</f>
        <v>125478.62000000001</v>
      </c>
      <c r="H468" s="18">
        <f>H193</f>
        <v>129372.03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-34108.910000000003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6090579.1500000004</v>
      </c>
      <c r="G470" s="53">
        <f>SUM(G468:G469)</f>
        <v>125478.62000000001</v>
      </c>
      <c r="H470" s="53">
        <f>SUM(H468:H469)</f>
        <v>129372.03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6020407.7300000004</v>
      </c>
      <c r="G472" s="18">
        <f>L362</f>
        <v>125478.62000000001</v>
      </c>
      <c r="H472" s="18">
        <f>L352</f>
        <v>129372.03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6020407.7300000004</v>
      </c>
      <c r="G474" s="53">
        <f>SUM(G472:G473)</f>
        <v>125478.62000000001</v>
      </c>
      <c r="H474" s="53">
        <f>SUM(H472:H473)</f>
        <v>129372.03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177068.41999999993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217612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3200000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4.87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f>1723073-164103</f>
        <v>1558970</v>
      </c>
      <c r="G495" s="18"/>
      <c r="H495" s="18"/>
      <c r="I495" s="18"/>
      <c r="J495" s="18"/>
      <c r="K495" s="53">
        <f>SUM(F495:J495)</f>
        <v>1558970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164103</v>
      </c>
      <c r="G497" s="18"/>
      <c r="H497" s="18"/>
      <c r="I497" s="18"/>
      <c r="J497" s="18"/>
      <c r="K497" s="53">
        <f t="shared" si="35"/>
        <v>164103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1394867</v>
      </c>
      <c r="G498" s="204"/>
      <c r="H498" s="204"/>
      <c r="I498" s="204"/>
      <c r="J498" s="204"/>
      <c r="K498" s="205">
        <f t="shared" si="35"/>
        <v>1394867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305684</v>
      </c>
      <c r="G499" s="18"/>
      <c r="H499" s="18"/>
      <c r="I499" s="18"/>
      <c r="J499" s="18"/>
      <c r="K499" s="53">
        <f t="shared" si="35"/>
        <v>305684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1700551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1700551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164102</v>
      </c>
      <c r="G501" s="204"/>
      <c r="H501" s="204"/>
      <c r="I501" s="204"/>
      <c r="J501" s="204"/>
      <c r="K501" s="205">
        <f t="shared" si="35"/>
        <v>164102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65932</v>
      </c>
      <c r="G502" s="18"/>
      <c r="H502" s="18"/>
      <c r="I502" s="18"/>
      <c r="J502" s="18"/>
      <c r="K502" s="53">
        <f t="shared" si="35"/>
        <v>65932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230034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230034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43126.42</v>
      </c>
      <c r="G507" s="144">
        <v>2985.5</v>
      </c>
      <c r="H507" s="144">
        <v>-1937.5</v>
      </c>
      <c r="I507" s="144">
        <f>H507+G507+F507</f>
        <v>44174.42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423733.21</v>
      </c>
      <c r="G521" s="18">
        <v>258849.29</v>
      </c>
      <c r="H521" s="18">
        <v>195303</v>
      </c>
      <c r="I521" s="18">
        <v>15361.62</v>
      </c>
      <c r="J521" s="18">
        <v>2750</v>
      </c>
      <c r="K521" s="18"/>
      <c r="L521" s="88">
        <f>SUM(F521:K521)</f>
        <v>895997.12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107673.89</v>
      </c>
      <c r="I523" s="18"/>
      <c r="J523" s="18"/>
      <c r="K523" s="18"/>
      <c r="L523" s="88">
        <f>SUM(F523:K523)</f>
        <v>107673.89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423733.21</v>
      </c>
      <c r="G524" s="108">
        <f t="shared" ref="G524:L524" si="36">SUM(G521:G523)</f>
        <v>258849.29</v>
      </c>
      <c r="H524" s="108">
        <f t="shared" si="36"/>
        <v>302976.89</v>
      </c>
      <c r="I524" s="108">
        <f t="shared" si="36"/>
        <v>15361.62</v>
      </c>
      <c r="J524" s="108">
        <f t="shared" si="36"/>
        <v>2750</v>
      </c>
      <c r="K524" s="108">
        <f t="shared" si="36"/>
        <v>0</v>
      </c>
      <c r="L524" s="89">
        <f t="shared" si="36"/>
        <v>1003671.01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133038</v>
      </c>
      <c r="G526" s="18">
        <v>69165.41</v>
      </c>
      <c r="H526" s="18"/>
      <c r="I526" s="18">
        <v>2620.66</v>
      </c>
      <c r="J526" s="18"/>
      <c r="K526" s="18"/>
      <c r="L526" s="88">
        <f>SUM(F526:K526)</f>
        <v>204824.07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133038</v>
      </c>
      <c r="G529" s="89">
        <f t="shared" ref="G529:L529" si="37">SUM(G526:G528)</f>
        <v>69165.41</v>
      </c>
      <c r="H529" s="89">
        <f t="shared" si="37"/>
        <v>0</v>
      </c>
      <c r="I529" s="89">
        <f t="shared" si="37"/>
        <v>2620.66</v>
      </c>
      <c r="J529" s="89">
        <f t="shared" si="37"/>
        <v>0</v>
      </c>
      <c r="K529" s="89">
        <f t="shared" si="37"/>
        <v>0</v>
      </c>
      <c r="L529" s="89">
        <f t="shared" si="37"/>
        <v>204824.07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30049.73</v>
      </c>
      <c r="G531" s="18">
        <f>7203.92+134.64+54.03+2213.37+4255.08+41.17+62.04</f>
        <v>13964.25</v>
      </c>
      <c r="H531" s="18">
        <f>63.68+2196</f>
        <v>2259.6799999999998</v>
      </c>
      <c r="I531" s="18">
        <v>65.78</v>
      </c>
      <c r="J531" s="18"/>
      <c r="K531" s="18">
        <v>614.88</v>
      </c>
      <c r="L531" s="88">
        <f>SUM(F531:K531)</f>
        <v>46954.319999999992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30049.73</v>
      </c>
      <c r="G534" s="89">
        <f t="shared" ref="G534:L534" si="38">SUM(G531:G533)</f>
        <v>13964.25</v>
      </c>
      <c r="H534" s="89">
        <f t="shared" si="38"/>
        <v>2259.6799999999998</v>
      </c>
      <c r="I534" s="89">
        <f t="shared" si="38"/>
        <v>65.78</v>
      </c>
      <c r="J534" s="89">
        <f t="shared" si="38"/>
        <v>0</v>
      </c>
      <c r="K534" s="89">
        <f t="shared" si="38"/>
        <v>614.88</v>
      </c>
      <c r="L534" s="89">
        <f t="shared" si="38"/>
        <v>46954.319999999992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29486.66</v>
      </c>
      <c r="I541" s="18"/>
      <c r="J541" s="18"/>
      <c r="K541" s="18"/>
      <c r="L541" s="88">
        <f>SUM(F541:K541)</f>
        <v>29486.66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9015.16</v>
      </c>
      <c r="I543" s="18"/>
      <c r="J543" s="18"/>
      <c r="K543" s="18"/>
      <c r="L543" s="88">
        <f>SUM(F543:K543)</f>
        <v>9015.16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38501.82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38501.82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586820.93999999994</v>
      </c>
      <c r="G545" s="89">
        <f t="shared" ref="G545:L545" si="41">G524+G529+G534+G539+G544</f>
        <v>341978.95</v>
      </c>
      <c r="H545" s="89">
        <f t="shared" si="41"/>
        <v>343738.39</v>
      </c>
      <c r="I545" s="89">
        <f t="shared" si="41"/>
        <v>18048.059999999998</v>
      </c>
      <c r="J545" s="89">
        <f t="shared" si="41"/>
        <v>2750</v>
      </c>
      <c r="K545" s="89">
        <f t="shared" si="41"/>
        <v>614.88</v>
      </c>
      <c r="L545" s="89">
        <f t="shared" si="41"/>
        <v>1293951.2200000002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895997.12</v>
      </c>
      <c r="G549" s="87">
        <f>L526</f>
        <v>204824.07</v>
      </c>
      <c r="H549" s="87">
        <f>L531</f>
        <v>46954.319999999992</v>
      </c>
      <c r="I549" s="87">
        <f>L536</f>
        <v>0</v>
      </c>
      <c r="J549" s="87">
        <f>L541</f>
        <v>29486.66</v>
      </c>
      <c r="K549" s="87">
        <f>SUM(F549:J549)</f>
        <v>1177262.17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107673.89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9015.16</v>
      </c>
      <c r="K551" s="87">
        <f>SUM(F551:J551)</f>
        <v>116689.05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1003671.01</v>
      </c>
      <c r="G552" s="89">
        <f t="shared" si="42"/>
        <v>204824.07</v>
      </c>
      <c r="H552" s="89">
        <f t="shared" si="42"/>
        <v>46954.319999999992</v>
      </c>
      <c r="I552" s="89">
        <f t="shared" si="42"/>
        <v>0</v>
      </c>
      <c r="J552" s="89">
        <f t="shared" si="42"/>
        <v>38501.82</v>
      </c>
      <c r="K552" s="89">
        <f t="shared" si="42"/>
        <v>1293951.22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H233</f>
        <v>1017032</v>
      </c>
      <c r="I575" s="87">
        <f>SUM(F575:H575)</f>
        <v>1017032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129544.77-95166.32</f>
        <v>34378.449999999997</v>
      </c>
      <c r="G579" s="18"/>
      <c r="H579" s="18">
        <v>91618.01</v>
      </c>
      <c r="I579" s="87">
        <f t="shared" si="47"/>
        <v>125996.45999999999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16055.88</v>
      </c>
      <c r="I581" s="87">
        <f t="shared" si="47"/>
        <v>16055.88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95166.319999999992</v>
      </c>
      <c r="G582" s="18"/>
      <c r="H582" s="18"/>
      <c r="I582" s="87">
        <f t="shared" si="47"/>
        <v>95166.319999999992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131954.23999999999</v>
      </c>
      <c r="I591" s="18"/>
      <c r="J591" s="18">
        <v>63266.76</v>
      </c>
      <c r="K591" s="104">
        <f t="shared" ref="K591:K597" si="48">SUM(H591:J591)</f>
        <v>195221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29486.66</v>
      </c>
      <c r="I592" s="18"/>
      <c r="J592" s="18">
        <v>9015.16</v>
      </c>
      <c r="K592" s="104">
        <f t="shared" si="48"/>
        <v>38501.82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9796.66</v>
      </c>
      <c r="I594" s="18"/>
      <c r="J594" s="18"/>
      <c r="K594" s="104">
        <f t="shared" si="48"/>
        <v>9796.66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3210.05</v>
      </c>
      <c r="I595" s="18"/>
      <c r="J595" s="18"/>
      <c r="K595" s="104">
        <f t="shared" si="48"/>
        <v>3210.05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174447.61</v>
      </c>
      <c r="I598" s="108">
        <f>SUM(I591:I597)</f>
        <v>0</v>
      </c>
      <c r="J598" s="108">
        <f>SUM(J591:J597)</f>
        <v>72281.919999999998</v>
      </c>
      <c r="K598" s="108">
        <f>SUM(K591:K597)</f>
        <v>246729.53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130685.05</v>
      </c>
      <c r="I604" s="18"/>
      <c r="J604" s="18"/>
      <c r="K604" s="104">
        <f>SUM(H604:J604)</f>
        <v>130685.05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130685.05</v>
      </c>
      <c r="I605" s="108">
        <f>SUM(I602:I604)</f>
        <v>0</v>
      </c>
      <c r="J605" s="108">
        <f>SUM(J602:J604)</f>
        <v>0</v>
      </c>
      <c r="K605" s="108">
        <f>SUM(K602:K604)</f>
        <v>130685.05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13534.87</v>
      </c>
      <c r="G611" s="18">
        <v>1759.21</v>
      </c>
      <c r="H611" s="18"/>
      <c r="I611" s="18">
        <v>782.66</v>
      </c>
      <c r="J611" s="18"/>
      <c r="K611" s="18"/>
      <c r="L611" s="88">
        <f>SUM(F611:K611)</f>
        <v>16076.740000000002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13534.87</v>
      </c>
      <c r="G614" s="108">
        <f t="shared" si="49"/>
        <v>1759.21</v>
      </c>
      <c r="H614" s="108">
        <f t="shared" si="49"/>
        <v>0</v>
      </c>
      <c r="I614" s="108">
        <f t="shared" si="49"/>
        <v>782.66</v>
      </c>
      <c r="J614" s="108">
        <f t="shared" si="49"/>
        <v>0</v>
      </c>
      <c r="K614" s="108">
        <f t="shared" si="49"/>
        <v>0</v>
      </c>
      <c r="L614" s="89">
        <f t="shared" si="49"/>
        <v>16076.740000000002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235524.15</v>
      </c>
      <c r="H617" s="109">
        <f>SUM(F52)</f>
        <v>235524.15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8707.67</v>
      </c>
      <c r="H618" s="109">
        <f>SUM(G52)</f>
        <v>8707.67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36676.339999999997</v>
      </c>
      <c r="H619" s="109">
        <f>SUM(H52)</f>
        <v>36676.339999999997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217612</v>
      </c>
      <c r="H621" s="109">
        <f>SUM(J52)</f>
        <v>217612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177068.41999999998</v>
      </c>
      <c r="H622" s="109">
        <f>F476</f>
        <v>177068.41999999993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217612</v>
      </c>
      <c r="H626" s="109">
        <f>J476</f>
        <v>217612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6124688.0600000005</v>
      </c>
      <c r="H627" s="104">
        <f>SUM(F468)</f>
        <v>6124688.0600000005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125478.62000000001</v>
      </c>
      <c r="H628" s="104">
        <f>SUM(G468)</f>
        <v>125478.62000000001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129372.03</v>
      </c>
      <c r="H629" s="104">
        <f>SUM(H468)</f>
        <v>129372.03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6020407.7300000004</v>
      </c>
      <c r="H632" s="104">
        <f>SUM(F472)</f>
        <v>6020407.7300000004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129372.03</v>
      </c>
      <c r="H633" s="104">
        <f>SUM(H472)</f>
        <v>129372.03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52291.51</v>
      </c>
      <c r="H634" s="104">
        <f>I369</f>
        <v>52291.51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125478.62000000001</v>
      </c>
      <c r="H635" s="104">
        <f>SUM(G472)</f>
        <v>125478.62000000001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217612</v>
      </c>
      <c r="H640" s="104">
        <f>SUM(G461)</f>
        <v>217612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217612</v>
      </c>
      <c r="H642" s="104">
        <f>SUM(I461)</f>
        <v>217612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246729.53</v>
      </c>
      <c r="H647" s="104">
        <f>L208+L226+L244</f>
        <v>246729.53000000003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130685.05</v>
      </c>
      <c r="H648" s="104">
        <f>(J257+J338)-(J255+J336)</f>
        <v>130685.05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174447.61000000002</v>
      </c>
      <c r="H649" s="104">
        <f>H598</f>
        <v>174447.61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72281.919999999998</v>
      </c>
      <c r="H651" s="104">
        <f>J598</f>
        <v>72281.919999999998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27562.39</v>
      </c>
      <c r="H652" s="104">
        <f>K263+K345</f>
        <v>27562.39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4783748.2700000014</v>
      </c>
      <c r="G660" s="19">
        <f>(L229+L309+L359)</f>
        <v>0</v>
      </c>
      <c r="H660" s="19">
        <f>(L247+L328+L360)</f>
        <v>1196987.8099999998</v>
      </c>
      <c r="I660" s="19">
        <f>SUM(F660:H660)</f>
        <v>5980736.080000001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24580.16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24580.16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174447.61000000002</v>
      </c>
      <c r="G662" s="19">
        <f>(L226+L306)-(J226+J306)</f>
        <v>0</v>
      </c>
      <c r="H662" s="19">
        <f>(L244+L325)-(J244+J325)</f>
        <v>72281.919999999998</v>
      </c>
      <c r="I662" s="19">
        <f>SUM(F662:H662)</f>
        <v>246729.53000000003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276306.56</v>
      </c>
      <c r="G663" s="199">
        <f>SUM(G575:G587)+SUM(I602:I604)+L612</f>
        <v>0</v>
      </c>
      <c r="H663" s="199">
        <f>SUM(H575:H587)+SUM(J602:J604)+L613</f>
        <v>1124705.8899999999</v>
      </c>
      <c r="I663" s="19">
        <f>SUM(F663:H663)</f>
        <v>1401012.45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4308413.9400000013</v>
      </c>
      <c r="G664" s="19">
        <f>G660-SUM(G661:G663)</f>
        <v>0</v>
      </c>
      <c r="H664" s="19">
        <f>H660-SUM(H661:H663)</f>
        <v>0</v>
      </c>
      <c r="I664" s="19">
        <f>I660-SUM(I661:I663)</f>
        <v>4308413.9400000013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222.13</v>
      </c>
      <c r="G665" s="248"/>
      <c r="H665" s="248"/>
      <c r="I665" s="19">
        <f>SUM(F665:H665)</f>
        <v>222.13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19395.91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19395.91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19395.91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19395.91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Tamworth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1408774.04</v>
      </c>
      <c r="C9" s="229">
        <f>'DOE25'!G197+'DOE25'!G215+'DOE25'!G233+'DOE25'!G276+'DOE25'!G295+'DOE25'!G314</f>
        <v>624528.88</v>
      </c>
    </row>
    <row r="10" spans="1:3" x14ac:dyDescent="0.2">
      <c r="A10" t="s">
        <v>779</v>
      </c>
      <c r="B10" s="240">
        <v>1391135.48</v>
      </c>
      <c r="C10" s="240">
        <v>621509.56000000006</v>
      </c>
    </row>
    <row r="11" spans="1:3" x14ac:dyDescent="0.2">
      <c r="A11" t="s">
        <v>780</v>
      </c>
      <c r="B11" s="240">
        <v>17638.560000000001</v>
      </c>
      <c r="C11" s="240">
        <v>3019.32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1408774.04</v>
      </c>
      <c r="C13" s="231">
        <f>SUM(C10:C12)</f>
        <v>624528.88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423733.21</v>
      </c>
      <c r="C18" s="229">
        <f>'DOE25'!G198+'DOE25'!G216+'DOE25'!G234+'DOE25'!G277+'DOE25'!G296+'DOE25'!G315</f>
        <v>258849.28999999998</v>
      </c>
    </row>
    <row r="19" spans="1:3" x14ac:dyDescent="0.2">
      <c r="A19" t="s">
        <v>779</v>
      </c>
      <c r="B19" s="240">
        <v>218053.51</v>
      </c>
      <c r="C19" s="240">
        <v>103061.16</v>
      </c>
    </row>
    <row r="20" spans="1:3" x14ac:dyDescent="0.2">
      <c r="A20" t="s">
        <v>780</v>
      </c>
      <c r="B20" s="240">
        <v>205679.7</v>
      </c>
      <c r="C20" s="240">
        <v>155788.13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423733.21</v>
      </c>
      <c r="C22" s="231">
        <f>SUM(C19:C21)</f>
        <v>258849.29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23059.62</v>
      </c>
      <c r="C36" s="235">
        <f>'DOE25'!G200+'DOE25'!G218+'DOE25'!G236+'DOE25'!G279+'DOE25'!G298+'DOE25'!G317</f>
        <v>3586.92</v>
      </c>
    </row>
    <row r="37" spans="1:3" x14ac:dyDescent="0.2">
      <c r="A37" t="s">
        <v>779</v>
      </c>
      <c r="B37" s="240">
        <v>12600.22</v>
      </c>
      <c r="C37" s="240">
        <v>2800.37</v>
      </c>
    </row>
    <row r="38" spans="1:3" x14ac:dyDescent="0.2">
      <c r="A38" t="s">
        <v>780</v>
      </c>
      <c r="B38" s="240">
        <v>10459.4</v>
      </c>
      <c r="C38" s="240">
        <v>786.55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23059.62</v>
      </c>
      <c r="C40" s="231">
        <f>SUM(C37:C39)</f>
        <v>3586.92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C51" sqref="C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Tamworth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4074891.7800000003</v>
      </c>
      <c r="D5" s="20">
        <f>SUM('DOE25'!L197:L200)+SUM('DOE25'!L215:L218)+SUM('DOE25'!L233:L236)-F5-G5</f>
        <v>4024035.95</v>
      </c>
      <c r="E5" s="243"/>
      <c r="F5" s="255">
        <f>SUM('DOE25'!J197:J200)+SUM('DOE25'!J215:J218)+SUM('DOE25'!J233:J236)</f>
        <v>50475.83</v>
      </c>
      <c r="G5" s="53">
        <f>SUM('DOE25'!K197:K200)+SUM('DOE25'!K215:K218)+SUM('DOE25'!K233:K236)</f>
        <v>380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374614.58999999997</v>
      </c>
      <c r="D6" s="20">
        <f>'DOE25'!L202+'DOE25'!L220+'DOE25'!L238-F6-G6</f>
        <v>374385.29</v>
      </c>
      <c r="E6" s="243"/>
      <c r="F6" s="255">
        <f>'DOE25'!J202+'DOE25'!J220+'DOE25'!J238</f>
        <v>229.3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116153.60000000001</v>
      </c>
      <c r="D7" s="20">
        <f>'DOE25'!L203+'DOE25'!L221+'DOE25'!L239-F7-G7</f>
        <v>116153.60000000001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172923.47</v>
      </c>
      <c r="D8" s="243"/>
      <c r="E8" s="20">
        <f>'DOE25'!L204+'DOE25'!L222+'DOE25'!L240-F8-G8-D9-D11</f>
        <v>169580.58</v>
      </c>
      <c r="F8" s="255">
        <f>'DOE25'!J204+'DOE25'!J222+'DOE25'!J240</f>
        <v>0</v>
      </c>
      <c r="G8" s="53">
        <f>'DOE25'!K204+'DOE25'!K222+'DOE25'!K240</f>
        <v>3342.89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13995.92</v>
      </c>
      <c r="D9" s="244">
        <v>13995.92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16246.87</v>
      </c>
      <c r="D10" s="243"/>
      <c r="E10" s="244">
        <v>16246.87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68318.94</v>
      </c>
      <c r="D11" s="244">
        <v>68318.94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214824.47</v>
      </c>
      <c r="D12" s="20">
        <f>'DOE25'!L205+'DOE25'!L223+'DOE25'!L241-F12-G12</f>
        <v>213737.75</v>
      </c>
      <c r="E12" s="243"/>
      <c r="F12" s="255">
        <f>'DOE25'!J205+'DOE25'!J223+'DOE25'!J241</f>
        <v>0</v>
      </c>
      <c r="G12" s="53">
        <f>'DOE25'!K205+'DOE25'!K223+'DOE25'!K241</f>
        <v>1086.72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443433.13</v>
      </c>
      <c r="D14" s="20">
        <f>'DOE25'!L207+'DOE25'!L225+'DOE25'!L243-F14-G14</f>
        <v>368003.51</v>
      </c>
      <c r="E14" s="243"/>
      <c r="F14" s="255">
        <f>'DOE25'!J207+'DOE25'!J225+'DOE25'!J243</f>
        <v>75429.62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246729.53000000003</v>
      </c>
      <c r="D15" s="20">
        <f>'DOE25'!L208+'DOE25'!L226+'DOE25'!L244-F15-G15</f>
        <v>246729.53000000003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266959.90999999997</v>
      </c>
      <c r="D25" s="243"/>
      <c r="E25" s="243"/>
      <c r="F25" s="258"/>
      <c r="G25" s="256"/>
      <c r="H25" s="257">
        <f>'DOE25'!L260+'DOE25'!L261+'DOE25'!L341+'DOE25'!L342</f>
        <v>266959.90999999997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76563.56</v>
      </c>
      <c r="D29" s="20">
        <f>'DOE25'!L358+'DOE25'!L359+'DOE25'!L360-'DOE25'!I367-F29-G29</f>
        <v>72894.319999999992</v>
      </c>
      <c r="E29" s="243"/>
      <c r="F29" s="255">
        <f>'DOE25'!J358+'DOE25'!J359+'DOE25'!J360</f>
        <v>3669.24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129372.03</v>
      </c>
      <c r="D31" s="20">
        <f>'DOE25'!L290+'DOE25'!L309+'DOE25'!L328+'DOE25'!L333+'DOE25'!L334+'DOE25'!L335-F31-G31</f>
        <v>124821.73</v>
      </c>
      <c r="E31" s="243"/>
      <c r="F31" s="255">
        <f>'DOE25'!J290+'DOE25'!J309+'DOE25'!J328+'DOE25'!J333+'DOE25'!J334+'DOE25'!J335</f>
        <v>4550.3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5623076.540000001</v>
      </c>
      <c r="E33" s="246">
        <f>SUM(E5:E31)</f>
        <v>185827.44999999998</v>
      </c>
      <c r="F33" s="246">
        <f>SUM(F5:F31)</f>
        <v>134354.29</v>
      </c>
      <c r="G33" s="246">
        <f>SUM(G5:G31)</f>
        <v>4809.6099999999997</v>
      </c>
      <c r="H33" s="246">
        <f>SUM(H5:H31)</f>
        <v>266959.90999999997</v>
      </c>
    </row>
    <row r="35" spans="2:8" ht="12" thickBot="1" x14ac:dyDescent="0.25">
      <c r="B35" s="253" t="s">
        <v>847</v>
      </c>
      <c r="D35" s="254">
        <f>E33</f>
        <v>185827.44999999998</v>
      </c>
      <c r="E35" s="249"/>
    </row>
    <row r="36" spans="2:8" ht="12" thickTop="1" x14ac:dyDescent="0.2">
      <c r="B36" t="s">
        <v>815</v>
      </c>
      <c r="D36" s="20">
        <f>D33</f>
        <v>5623076.540000001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27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Tamworth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88709.49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83040.92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217612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35047.22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28676.05</v>
      </c>
      <c r="D12" s="95">
        <f>'DOE25'!G13</f>
        <v>8707.67</v>
      </c>
      <c r="E12" s="95">
        <f>'DOE25'!H13</f>
        <v>36676.339999999997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50.47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235524.15</v>
      </c>
      <c r="D18" s="41">
        <f>SUM(D8:D17)</f>
        <v>8707.67</v>
      </c>
      <c r="E18" s="41">
        <f>SUM(E8:E17)</f>
        <v>36676.339999999997</v>
      </c>
      <c r="F18" s="41">
        <f>SUM(F8:F17)</f>
        <v>0</v>
      </c>
      <c r="G18" s="41">
        <f>SUM(G8:G17)</f>
        <v>217612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8707.67</v>
      </c>
      <c r="E21" s="95">
        <f>'DOE25'!H22</f>
        <v>26339.55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58455.73</v>
      </c>
      <c r="D23" s="95">
        <f>'DOE25'!G24</f>
        <v>0</v>
      </c>
      <c r="E23" s="95">
        <f>'DOE25'!H24</f>
        <v>6083.81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4252.9799999999996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58455.73</v>
      </c>
      <c r="D31" s="41">
        <f>SUM(D21:D30)</f>
        <v>8707.67</v>
      </c>
      <c r="E31" s="41">
        <f>SUM(E21:E30)</f>
        <v>36676.339999999997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217612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22751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124317.42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177068.41999999998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217612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235524.15</v>
      </c>
      <c r="D51" s="41">
        <f>D50+D31</f>
        <v>8707.67</v>
      </c>
      <c r="E51" s="41">
        <f>E50+E31</f>
        <v>36676.339999999997</v>
      </c>
      <c r="F51" s="41">
        <f>F50+F31</f>
        <v>0</v>
      </c>
      <c r="G51" s="41">
        <f>G50+G31</f>
        <v>217612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4432929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268.5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24580.16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112005.36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112273.86</v>
      </c>
      <c r="D62" s="130">
        <f>SUM(D57:D61)</f>
        <v>24580.16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4545202.8600000003</v>
      </c>
      <c r="D63" s="22">
        <f>D56+D62</f>
        <v>24580.16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696275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711973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1408248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49083.34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43762.42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1373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92845.759999999995</v>
      </c>
      <c r="D78" s="130">
        <f>SUM(D72:D77)</f>
        <v>1373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1501093.76</v>
      </c>
      <c r="D81" s="130">
        <f>SUM(D79:D80)+D78+D70</f>
        <v>1373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78248.929999999993</v>
      </c>
      <c r="D88" s="95">
        <f>SUM('DOE25'!G153:G161)</f>
        <v>71963.070000000007</v>
      </c>
      <c r="E88" s="95">
        <f>SUM('DOE25'!H153:H161)</f>
        <v>129372.03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142.51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78391.439999999988</v>
      </c>
      <c r="D91" s="131">
        <f>SUM(D85:D90)</f>
        <v>71963.070000000007</v>
      </c>
      <c r="E91" s="131">
        <f>SUM(E85:E90)</f>
        <v>129372.03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27562.39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27562.39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6124688.0600000005</v>
      </c>
      <c r="D104" s="86">
        <f>D63+D81+D91+D103</f>
        <v>125478.62000000001</v>
      </c>
      <c r="E104" s="86">
        <f>E63+E81+E91+E103</f>
        <v>129372.03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3059729.41</v>
      </c>
      <c r="D109" s="24" t="s">
        <v>289</v>
      </c>
      <c r="E109" s="95">
        <f>('DOE25'!L276)+('DOE25'!L295)+('DOE25'!L314)</f>
        <v>83293.87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985185.1</v>
      </c>
      <c r="D110" s="24" t="s">
        <v>289</v>
      </c>
      <c r="E110" s="95">
        <f>('DOE25'!L277)+('DOE25'!L296)+('DOE25'!L315)</f>
        <v>18486.21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29977.27</v>
      </c>
      <c r="D112" s="24" t="s">
        <v>289</v>
      </c>
      <c r="E112" s="95">
        <f>+('DOE25'!L279)+('DOE25'!L298)+('DOE25'!L317)</f>
        <v>6576.74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4074891.7800000003</v>
      </c>
      <c r="D115" s="86">
        <f>SUM(D109:D114)</f>
        <v>0</v>
      </c>
      <c r="E115" s="86">
        <f>SUM(E109:E114)</f>
        <v>108356.81999999999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374614.58999999997</v>
      </c>
      <c r="D118" s="24" t="s">
        <v>289</v>
      </c>
      <c r="E118" s="95">
        <f>+('DOE25'!L281)+('DOE25'!L300)+('DOE25'!L319)</f>
        <v>8083.18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116153.60000000001</v>
      </c>
      <c r="D119" s="24" t="s">
        <v>289</v>
      </c>
      <c r="E119" s="95">
        <f>+('DOE25'!L282)+('DOE25'!L301)+('DOE25'!L320)</f>
        <v>12932.03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255238.33000000002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214824.47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443433.13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246729.53000000003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125478.62000000001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1650993.6500000001</v>
      </c>
      <c r="D128" s="86">
        <f>SUM(D118:D127)</f>
        <v>125478.62000000001</v>
      </c>
      <c r="E128" s="86">
        <f>SUM(E118:E127)</f>
        <v>21015.21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193074.12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73885.789999999994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27562.39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294522.3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6020407.7300000004</v>
      </c>
      <c r="D145" s="86">
        <f>(D115+D128+D144)</f>
        <v>125478.62000000001</v>
      </c>
      <c r="E145" s="86">
        <f>(E115+E128+E144)</f>
        <v>129372.03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2003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3200000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4.87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1558970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1558970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164103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164103</v>
      </c>
    </row>
    <row r="159" spans="1:9" x14ac:dyDescent="0.2">
      <c r="A159" s="22" t="s">
        <v>35</v>
      </c>
      <c r="B159" s="137">
        <f>'DOE25'!F498</f>
        <v>1394867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1394867</v>
      </c>
    </row>
    <row r="160" spans="1:9" x14ac:dyDescent="0.2">
      <c r="A160" s="22" t="s">
        <v>36</v>
      </c>
      <c r="B160" s="137">
        <f>'DOE25'!F499</f>
        <v>305684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305684</v>
      </c>
    </row>
    <row r="161" spans="1:7" x14ac:dyDescent="0.2">
      <c r="A161" s="22" t="s">
        <v>37</v>
      </c>
      <c r="B161" s="137">
        <f>'DOE25'!F500</f>
        <v>1700551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1700551</v>
      </c>
    </row>
    <row r="162" spans="1:7" x14ac:dyDescent="0.2">
      <c r="A162" s="22" t="s">
        <v>38</v>
      </c>
      <c r="B162" s="137">
        <f>'DOE25'!F501</f>
        <v>164102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164102</v>
      </c>
    </row>
    <row r="163" spans="1:7" x14ac:dyDescent="0.2">
      <c r="A163" s="22" t="s">
        <v>39</v>
      </c>
      <c r="B163" s="137">
        <f>'DOE25'!F502</f>
        <v>65932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65932</v>
      </c>
    </row>
    <row r="164" spans="1:7" x14ac:dyDescent="0.2">
      <c r="A164" s="22" t="s">
        <v>246</v>
      </c>
      <c r="B164" s="137">
        <f>'DOE25'!F503</f>
        <v>230034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230034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Tamworth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19396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19396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3143023</v>
      </c>
      <c r="D10" s="182">
        <f>ROUND((C10/$C$28)*100,1)</f>
        <v>52.1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1003671</v>
      </c>
      <c r="D11" s="182">
        <f>ROUND((C11/$C$28)*100,1)</f>
        <v>16.600000000000001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36554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382698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129086</v>
      </c>
      <c r="D16" s="182">
        <f t="shared" si="0"/>
        <v>2.1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255238</v>
      </c>
      <c r="D17" s="182">
        <f t="shared" si="0"/>
        <v>4.2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214824</v>
      </c>
      <c r="D18" s="182">
        <f t="shared" si="0"/>
        <v>3.6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443433</v>
      </c>
      <c r="D20" s="182">
        <f t="shared" si="0"/>
        <v>7.4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246730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73886</v>
      </c>
      <c r="D25" s="182">
        <f t="shared" si="0"/>
        <v>1.2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100898.84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6030041.8399999999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6030041.8399999999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193074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4432929</v>
      </c>
      <c r="D35" s="182">
        <f t="shared" ref="D35:D40" si="1">ROUND((C35/$C$41)*100,1)</f>
        <v>70.099999999999994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112273.86000000034</v>
      </c>
      <c r="D36" s="182">
        <f t="shared" si="1"/>
        <v>1.8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1408248</v>
      </c>
      <c r="D37" s="182">
        <f t="shared" si="1"/>
        <v>22.3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94219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279727</v>
      </c>
      <c r="D39" s="182">
        <f t="shared" si="1"/>
        <v>4.4000000000000004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6327396.8600000003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9" sqref="C19:M1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Tamworth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19</v>
      </c>
      <c r="B4" s="219">
        <v>3</v>
      </c>
      <c r="C4" s="285" t="s">
        <v>914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915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2014-10-02T12:00:34Z</cp:lastPrinted>
  <dcterms:created xsi:type="dcterms:W3CDTF">1997-12-04T19:04:30Z</dcterms:created>
  <dcterms:modified xsi:type="dcterms:W3CDTF">2014-10-02T12:02:52Z</dcterms:modified>
</cp:coreProperties>
</file>