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210" windowWidth="12510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9" i="1" l="1"/>
  <c r="I335" i="1" l="1"/>
  <c r="F465" i="1"/>
  <c r="C39" i="12"/>
  <c r="C37" i="12"/>
  <c r="B39" i="12"/>
  <c r="C20" i="12"/>
  <c r="C21" i="12" s="1"/>
  <c r="C19" i="12"/>
  <c r="B21" i="12"/>
  <c r="C11" i="12"/>
  <c r="C12" i="12" s="1"/>
  <c r="C10" i="12"/>
  <c r="B12" i="12"/>
  <c r="F63" i="1"/>
  <c r="F66" i="1"/>
  <c r="F57" i="1"/>
  <c r="F46" i="1"/>
  <c r="H635" i="1" l="1"/>
  <c r="H633" i="1"/>
  <c r="G97" i="1" l="1"/>
  <c r="J604" i="1"/>
  <c r="H597" i="1"/>
  <c r="H472" i="1" l="1"/>
  <c r="H569" i="1"/>
  <c r="I568" i="1"/>
  <c r="H110" i="1" l="1"/>
  <c r="H155" i="1"/>
  <c r="H154" i="1"/>
  <c r="G158" i="1" l="1"/>
  <c r="F110" i="1"/>
  <c r="H22" i="1"/>
  <c r="H48" i="1"/>
  <c r="G9" i="1"/>
  <c r="F2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1" i="2"/>
  <c r="C113" i="2"/>
  <c r="E113" i="2"/>
  <c r="C114" i="2"/>
  <c r="E114" i="2"/>
  <c r="D115" i="2"/>
  <c r="F115" i="2"/>
  <c r="G115" i="2"/>
  <c r="E119" i="2"/>
  <c r="C120" i="2"/>
  <c r="E120" i="2"/>
  <c r="E121" i="2"/>
  <c r="C122" i="2"/>
  <c r="E122" i="2"/>
  <c r="C123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J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H627" i="1"/>
  <c r="H628" i="1"/>
  <c r="H629" i="1"/>
  <c r="H630" i="1"/>
  <c r="H631" i="1"/>
  <c r="H632" i="1"/>
  <c r="G634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164" i="2"/>
  <c r="C18" i="2"/>
  <c r="C26" i="10"/>
  <c r="L351" i="1"/>
  <c r="I662" i="1"/>
  <c r="L290" i="1"/>
  <c r="A31" i="12"/>
  <c r="C70" i="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I169" i="1"/>
  <c r="H169" i="1"/>
  <c r="G552" i="1"/>
  <c r="J644" i="1"/>
  <c r="J643" i="1"/>
  <c r="J476" i="1"/>
  <c r="H626" i="1" s="1"/>
  <c r="H476" i="1"/>
  <c r="H624" i="1" s="1"/>
  <c r="F476" i="1"/>
  <c r="H622" i="1" s="1"/>
  <c r="J622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J640" i="1"/>
  <c r="H571" i="1"/>
  <c r="L560" i="1"/>
  <c r="J545" i="1"/>
  <c r="F338" i="1"/>
  <c r="F352" i="1" s="1"/>
  <c r="G192" i="1"/>
  <c r="H192" i="1"/>
  <c r="F552" i="1"/>
  <c r="C35" i="10"/>
  <c r="E16" i="13"/>
  <c r="E33" i="13" s="1"/>
  <c r="D35" i="13" s="1"/>
  <c r="J645" i="1"/>
  <c r="L570" i="1"/>
  <c r="I571" i="1"/>
  <c r="J636" i="1"/>
  <c r="G36" i="2"/>
  <c r="L565" i="1"/>
  <c r="G545" i="1"/>
  <c r="C138" i="2"/>
  <c r="H545" i="1" l="1"/>
  <c r="K549" i="1"/>
  <c r="A40" i="12"/>
  <c r="H33" i="13"/>
  <c r="J639" i="1"/>
  <c r="L534" i="1"/>
  <c r="H552" i="1"/>
  <c r="K551" i="1"/>
  <c r="I545" i="1"/>
  <c r="K552" i="1"/>
  <c r="L524" i="1"/>
  <c r="L545" i="1" s="1"/>
  <c r="E31" i="2"/>
  <c r="D81" i="2"/>
  <c r="C78" i="2"/>
  <c r="I369" i="1"/>
  <c r="H634" i="1" s="1"/>
  <c r="J634" i="1" s="1"/>
  <c r="L362" i="1"/>
  <c r="F661" i="1"/>
  <c r="G661" i="1"/>
  <c r="D29" i="13"/>
  <c r="C29" i="13" s="1"/>
  <c r="D127" i="2"/>
  <c r="D128" i="2" s="1"/>
  <c r="D145" i="2" s="1"/>
  <c r="H661" i="1"/>
  <c r="I661" i="1" s="1"/>
  <c r="L328" i="1"/>
  <c r="E118" i="2"/>
  <c r="E112" i="2"/>
  <c r="H338" i="1"/>
  <c r="H352" i="1" s="1"/>
  <c r="E115" i="2"/>
  <c r="E128" i="2"/>
  <c r="C16" i="10"/>
  <c r="D6" i="13"/>
  <c r="C6" i="13" s="1"/>
  <c r="C112" i="2"/>
  <c r="L247" i="1"/>
  <c r="J257" i="1"/>
  <c r="J271" i="1" s="1"/>
  <c r="C109" i="2"/>
  <c r="C17" i="10"/>
  <c r="C20" i="10"/>
  <c r="C18" i="10"/>
  <c r="C119" i="2"/>
  <c r="L229" i="1"/>
  <c r="G660" i="1" s="1"/>
  <c r="G664" i="1" s="1"/>
  <c r="G667" i="1" s="1"/>
  <c r="D5" i="13"/>
  <c r="C5" i="13" s="1"/>
  <c r="I257" i="1"/>
  <c r="I271" i="1" s="1"/>
  <c r="G257" i="1"/>
  <c r="G271" i="1" s="1"/>
  <c r="C10" i="10"/>
  <c r="C16" i="13"/>
  <c r="C125" i="2"/>
  <c r="D12" i="13"/>
  <c r="C12" i="13" s="1"/>
  <c r="C121" i="2"/>
  <c r="L211" i="1"/>
  <c r="F660" i="1" s="1"/>
  <c r="C118" i="2"/>
  <c r="C81" i="2"/>
  <c r="C62" i="2"/>
  <c r="C63" i="2" s="1"/>
  <c r="G625" i="1"/>
  <c r="J625" i="1" s="1"/>
  <c r="J6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C115" i="2" l="1"/>
  <c r="H660" i="1"/>
  <c r="H664" i="1" s="1"/>
  <c r="H667" i="1" s="1"/>
  <c r="E145" i="2"/>
  <c r="C128" i="2"/>
  <c r="H648" i="1"/>
  <c r="J648" i="1" s="1"/>
  <c r="C28" i="10"/>
  <c r="D24" i="10" s="1"/>
  <c r="G672" i="1"/>
  <c r="C5" i="10" s="1"/>
  <c r="C145" i="2"/>
  <c r="L257" i="1"/>
  <c r="L271" i="1" s="1"/>
  <c r="G632" i="1" s="1"/>
  <c r="J632" i="1" s="1"/>
  <c r="F664" i="1"/>
  <c r="I660" i="1"/>
  <c r="I664" i="1" s="1"/>
  <c r="I672" i="1" s="1"/>
  <c r="C7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10" i="10"/>
  <c r="D23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<sst xmlns="http://schemas.openxmlformats.org/spreadsheetml/2006/main" count="3958" uniqueCount="916">
  <si>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</si>
  <si>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</si>
  <si>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</si>
  <si>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</si>
  <si>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</si>
  <si>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</si>
  <si>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</si>
  <si>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</si>
  <si>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</si>
  <si>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</si>
  <si>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</si>
  <si>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</si>
  <si>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</si>
  <si>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</si>
  <si>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</si>
  <si>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</si>
  <si>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</si>
  <si>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</si>
  <si>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</si>
  <si>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</si>
  <si>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</si>
  <si>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</si>
  <si>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</si>
  <si>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</si>
  <si>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</si>
  <si>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</si>
  <si>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</si>
  <si>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</si>
  <si>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</si>
  <si>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</si>
  <si>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</si>
  <si>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</si>
  <si>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</si>
  <si>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</si>
  <si>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</si>
  <si>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</si>
  <si>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</si>
  <si>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</si>
  <si>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</si>
  <si>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</si>
  <si>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</si>
  <si>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</si>
  <si>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</si>
  <si>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</si>
  <si>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</si>
  <si>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</si>
  <si>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</si>
  <si>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</si>
  <si>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</si>
  <si>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</si>
  <si>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</si>
  <si>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</si>
  <si>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</si>
  <si>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</si>
  <si>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</si>
  <si>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</si>
  <si>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</si>
  <si>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</si>
  <si>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</si>
  <si>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</si>
  <si>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</si>
  <si>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</si>
  <si>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</si>
  <si>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</si>
  <si>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</si>
  <si>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</si>
  <si>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</si>
  <si>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</si>
  <si>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</si>
  <si>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</si>
  <si>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</si>
  <si>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</si>
  <si>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</si>
  <si>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</si>
  <si>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</si>
  <si>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</si>
  <si>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</si>
  <si>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</si>
  <si>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</si>
  <si>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</si>
  <si>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</si>
  <si>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</si>
  <si>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</si>
  <si>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</si>
  <si>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</si>
  <si>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</si>
  <si>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</si>
  <si>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</si>
  <si>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</si>
  <si>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</si>
  <si>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</si>
  <si>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</si>
  <si>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</si>
  <si>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</si>
  <si>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</si>
  <si>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</si>
  <si>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</si>
  <si>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</si>
  <si>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</si>
  <si>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</si>
  <si>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</si>
  <si>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</si>
  <si>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</si>
  <si>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</si>
  <si>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</si>
  <si>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</si>
  <si>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</si>
  <si>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</si>
  <si>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</si>
  <si>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</si>
  <si>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</si>
  <si>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</si>
  <si>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</si>
  <si>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</si>
  <si>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</si>
  <si>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</si>
  <si>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</si>
  <si>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</si>
  <si>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</si>
  <si>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</si>
  <si>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</si>
  <si>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</si>
  <si>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</si>
  <si>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</si>
  <si>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</si>
  <si>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</si>
  <si>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</si>
  <si>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</si>
  <si>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</si>
  <si>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</si>
  <si>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</si>
  <si>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</si>
  <si>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</si>
  <si>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</si>
  <si>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</si>
  <si>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</si>
  <si>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</si>
  <si>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</si>
  <si>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</si>
  <si>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</si>
  <si>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</si>
  <si>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</si>
  <si>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</si>
  <si>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</si>
  <si>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</si>
  <si>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</si>
  <si>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</si>
  <si>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</si>
  <si>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</si>
  <si>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</si>
  <si>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</si>
  <si>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</si>
  <si>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</si>
  <si>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</si>
  <si>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</si>
  <si>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</si>
  <si>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</si>
  <si>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</si>
  <si>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</si>
  <si>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</si>
  <si>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</si>
  <si>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</si>
  <si>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</si>
  <si>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</si>
  <si>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</si>
  <si>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</si>
  <si>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</si>
  <si>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</si>
  <si>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</si>
  <si>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</si>
  <si>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</si>
  <si>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</si>
  <si>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</si>
  <si>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</si>
  <si>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</si>
  <si>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</si>
  <si>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</si>
  <si>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</si>
  <si>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</si>
  <si>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</si>
  <si>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</si>
  <si>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</si>
  <si>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</si>
  <si>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</si>
  <si>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</si>
  <si>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</si>
  <si>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</si>
  <si>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</si>
  <si>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</si>
  <si>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</si>
  <si>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</si>
  <si>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</si>
  <si>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</si>
  <si>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</si>
  <si>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</si>
  <si>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</si>
  <si>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</si>
  <si>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</si>
  <si>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</si>
  <si>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</si>
  <si>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</si>
  <si>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</si>
  <si>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</si>
  <si>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</si>
  <si>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</si>
  <si>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</si>
  <si>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</si>
  <si>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</si>
  <si>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</si>
  <si>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</si>
  <si>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</si>
  <si>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</si>
  <si>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</si>
  <si>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</si>
  <si>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</si>
  <si>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</si>
  <si>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</si>
  <si>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</si>
  <si>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</si>
  <si>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</si>
  <si>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</si>
  <si>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</si>
  <si>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</si>
  <si>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</si>
  <si>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</si>
  <si>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</si>
  <si>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</si>
  <si>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</si>
  <si>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</si>
  <si>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</si>
  <si>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</si>
  <si>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</si>
  <si>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</si>
  <si>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</si>
  <si>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</si>
  <si>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</si>
  <si>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</si>
  <si>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</si>
  <si>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</si>
  <si>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</si>
  <si>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</si>
  <si>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</si>
  <si>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</si>
  <si>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</si>
  <si>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</si>
  <si>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</si>
  <si>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</si>
  <si>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</si>
  <si>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</si>
  <si>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</si>
  <si>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</si>
  <si>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</si>
  <si>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</si>
  <si>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</si>
  <si>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</si>
  <si>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</si>
  <si>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</si>
  <si>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</si>
  <si>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</si>
  <si>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</si>
  <si>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</si>
  <si>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</si>
  <si>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</si>
  <si>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</si>
  <si>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</si>
  <si>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</si>
  <si>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</si>
  <si>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</si>
  <si>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</si>
  <si>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</si>
  <si>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</si>
  <si>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</si>
  <si>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</si>
  <si>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</si>
  <si>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</si>
  <si>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</si>
  <si>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</si>
  <si>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</si>
  <si>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</si>
  <si>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</si>
  <si>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</si>
  <si>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</si>
  <si>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</si>
  <si>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</si>
  <si>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</si>
  <si>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</si>
  <si>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</si>
  <si>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</si>
  <si>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</si>
  <si>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</si>
  <si>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</si>
  <si>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</si>
  <si>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</si>
  <si>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</si>
  <si>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</si>
  <si>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</si>
  <si>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</si>
  <si>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</si>
  <si>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</si>
  <si>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</si>
  <si>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</si>
  <si>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</si>
  <si>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</si>
  <si>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</si>
  <si>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</si>
  <si>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</si>
  <si>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</si>
  <si>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</si>
  <si>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</si>
  <si>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</si>
  <si>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</si>
  <si>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</si>
  <si>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</si>
  <si>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</si>
  <si>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</si>
  <si>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</si>
  <si>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</si>
  <si>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</si>
  <si>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</si>
  <si>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</si>
  <si>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</si>
  <si>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</si>
  <si>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</si>
  <si>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</si>
  <si>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</si>
  <si>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</si>
  <si>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</si>
  <si>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</si>
  <si>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</si>
  <si>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</si>
  <si>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</si>
  <si>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</si>
  <si>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</si>
  <si>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</si>
  <si>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</si>
  <si>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</si>
  <si>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</si>
  <si>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</si>
  <si>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</si>
  <si>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</si>
  <si>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</si>
  <si>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</si>
  <si>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</si>
  <si>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</si>
  <si>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</si>
  <si>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</si>
  <si>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</si>
  <si>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</si>
  <si>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</si>
  <si>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</si>
  <si>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</si>
  <si>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</si>
  <si>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</si>
  <si>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</si>
  <si>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</si>
  <si>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</si>
  <si>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</si>
  <si>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</si>
  <si>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</si>
  <si>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</si>
  <si>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</si>
  <si>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</si>
  <si>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</si>
  <si>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</si>
  <si>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</si>
  <si>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</si>
  <si>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</si>
  <si>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</si>
  <si>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</si>
  <si>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</si>
  <si>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</si>
  <si>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</si>
  <si>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</si>
  <si>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</si>
  <si>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</si>
  <si>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</si>
  <si>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</si>
  <si>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</si>
  <si>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</si>
  <si>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</si>
  <si>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</si>
  <si>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</si>
  <si>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</si>
  <si>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</si>
  <si>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</si>
  <si>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</si>
  <si>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</si>
  <si>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</si>
  <si>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</si>
  <si>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</si>
  <si>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</si>
  <si>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</si>
  <si>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</si>
  <si>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</si>
  <si>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</si>
  <si>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</si>
  <si>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</si>
  <si>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</si>
  <si>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</si>
  <si>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</si>
  <si>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</si>
  <si>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</si>
  <si>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</si>
  <si>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</si>
  <si>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</si>
  <si>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</si>
  <si>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</si>
  <si>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</si>
  <si>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</si>
  <si>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</si>
  <si>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</si>
  <si>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</si>
  <si>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</si>
  <si>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</si>
  <si>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</si>
  <si>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</si>
  <si>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</si>
  <si>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</si>
  <si>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</si>
  <si>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</si>
  <si>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</si>
  <si>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</si>
  <si>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</si>
  <si>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</si>
  <si>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</si>
  <si>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</si>
  <si>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</si>
  <si>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</si>
  <si>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</si>
  <si>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</si>
  <si>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</si>
  <si>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</si>
  <si>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</si>
  <si>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</si>
  <si>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</si>
  <si>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</si>
  <si>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</si>
  <si>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</si>
  <si>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</si>
  <si>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</si>
  <si>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</si>
  <si>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</si>
  <si>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</si>
  <si>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</si>
  <si>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</si>
  <si>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</si>
  <si>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</si>
  <si>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</si>
  <si>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</si>
  <si>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</si>
  <si>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</si>
  <si>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</si>
  <si>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</si>
  <si>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</si>
  <si>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</si>
  <si>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</si>
  <si>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</si>
  <si>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</si>
  <si>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</si>
  <si>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</si>
  <si>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</si>
  <si>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</si>
  <si>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</si>
  <si>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</si>
  <si>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</si>
  <si>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</si>
  <si>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</si>
  <si>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</si>
  <si>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</si>
  <si>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</si>
  <si>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</si>
  <si>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</si>
  <si>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</si>
  <si>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</si>
  <si>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</si>
  <si>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</si>
  <si>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</si>
  <si>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</si>
  <si>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</si>
  <si>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</si>
  <si>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</si>
  <si>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</si>
  <si>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</si>
  <si>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</si>
  <si>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</si>
  <si>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</si>
  <si>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</si>
  <si>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</si>
  <si>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</si>
  <si>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</si>
  <si>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</si>
  <si>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</si>
  <si>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</si>
  <si>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</si>
  <si>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</si>
  <si>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</si>
  <si>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</si>
  <si>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</si>
  <si>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</si>
  <si>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</si>
  <si>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</si>
  <si>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</si>
  <si>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</si>
  <si>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</si>
  <si>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</si>
  <si>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</si>
  <si>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</si>
  <si>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</si>
  <si>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</si>
  <si>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</si>
  <si>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</si>
  <si>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</si>
  <si>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</si>
  <si>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</si>
  <si>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</si>
  <si>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</si>
  <si>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</si>
  <si>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</si>
  <si>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</si>
  <si>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</si>
  <si>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</si>
  <si>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</si>
  <si>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</si>
  <si>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</si>
  <si>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</si>
  <si>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</si>
  <si>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</si>
  <si>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</si>
  <si>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</si>
  <si>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</si>
  <si>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</si>
  <si>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</si>
  <si>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</si>
  <si>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</si>
  <si>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</si>
  <si>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</si>
  <si>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</si>
  <si>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</si>
  <si>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</si>
  <si>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</si>
  <si>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</si>
  <si>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</si>
  <si>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</si>
  <si>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</si>
  <si>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</si>
  <si>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</si>
  <si>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</si>
  <si>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</si>
  <si>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</si>
  <si>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</si>
  <si>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</si>
  <si>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</si>
  <si>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</si>
  <si>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</si>
  <si>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</si>
  <si>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</si>
  <si>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</si>
  <si>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</si>
  <si>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</si>
  <si>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</si>
  <si>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</si>
  <si>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</si>
  <si>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</si>
  <si>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</si>
  <si>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</si>
  <si>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</si>
  <si>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</si>
  <si>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</si>
  <si>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</si>
  <si>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</si>
  <si>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</si>
  <si>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</si>
  <si>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</si>
  <si>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</si>
  <si>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</si>
  <si>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</si>
  <si>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</si>
  <si>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</si>
  <si>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</si>
  <si>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</si>
  <si>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</si>
  <si>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</si>
  <si>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</si>
  <si>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</si>
  <si>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</si>
  <si>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</si>
  <si>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</si>
  <si>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</si>
  <si>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</si>
  <si>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</si>
  <si>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</si>
  <si>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</si>
  <si>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</si>
  <si>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</si>
  <si>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</si>
  <si>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</si>
  <si>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</si>
  <si>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</si>
  <si>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</si>
  <si>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</si>
  <si>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</si>
  <si>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</si>
  <si>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</si>
  <si>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</si>
  <si>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</si>
  <si>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</si>
  <si>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</si>
  <si>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</si>
  <si>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</si>
  <si>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</si>
  <si>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</si>
  <si>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</si>
  <si>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</si>
  <si>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</si>
  <si>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</si>
  <si>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</si>
  <si>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</si>
  <si>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</si>
  <si>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</si>
  <si>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</si>
  <si>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</si>
  <si>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</si>
  <si>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</si>
  <si>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</si>
  <si>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</si>
  <si>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</si>
  <si>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</si>
  <si>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</si>
  <si>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</si>
  <si>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</si>
  <si>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</si>
  <si>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</si>
  <si>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</si>
  <si>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</si>
  <si>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</si>
  <si>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</si>
  <si>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</si>
  <si>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</si>
  <si>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</si>
  <si>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</si>
  <si>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</si>
  <si>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</si>
  <si>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</si>
  <si>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</si>
  <si>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</si>
  <si>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</si>
  <si>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</si>
  <si>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</si>
  <si>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</si>
  <si>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</si>
  <si>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</si>
  <si>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</si>
  <si>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</si>
  <si>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</si>
  <si>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</si>
  <si>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</si>
  <si>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</si>
  <si>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</si>
  <si>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</si>
  <si>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</si>
  <si>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</si>
  <si>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</si>
  <si>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</si>
  <si>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</si>
  <si>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</si>
  <si>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</si>
  <si>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</si>
  <si>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</si>
  <si>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</si>
  <si>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</si>
  <si>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</si>
  <si>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</si>
  <si>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</si>
  <si>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</si>
  <si>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</si>
  <si>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</si>
  <si>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</si>
  <si>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</si>
  <si>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</si>
  <si>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</si>
  <si>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</si>
  <si>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</si>
  <si>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</si>
  <si>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</si>
  <si>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</si>
  <si>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</si>
  <si>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</si>
  <si>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</si>
  <si>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</si>
  <si>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</si>
  <si>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</si>
  <si>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</si>
  <si>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</si>
  <si>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</si>
  <si>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</si>
  <si>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</si>
  <si>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</si>
  <si>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</si>
  <si>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</si>
  <si>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</si>
  <si>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</si>
  <si>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</si>
  <si>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</si>
  <si>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</si>
  <si>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</si>
  <si>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</si>
  <si>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</si>
  <si>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</si>
  <si>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</si>
  <si>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</si>
  <si>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</si>
  <si>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</si>
  <si>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</si>
  <si>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</si>
  <si>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</si>
  <si>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</si>
  <si>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</si>
  <si>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</si>
  <si>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</si>
  <si>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</si>
  <si>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</si>
  <si>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</si>
  <si>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</si>
  <si>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</si>
  <si>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</si>
  <si>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</si>
  <si>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</si>
  <si>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</si>
  <si>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</si>
  <si>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</si>
  <si>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</si>
  <si>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</si>
  <si>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</si>
  <si>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</si>
  <si>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</si>
  <si>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</si>
  <si>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</si>
  <si>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</si>
  <si>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</si>
  <si>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</si>
  <si>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</si>
  <si>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</si>
  <si>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</si>
  <si>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</si>
  <si>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</si>
  <si>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</si>
  <si>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</si>
  <si>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</si>
  <si>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</si>
  <si>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</si>
  <si>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</si>
  <si>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</si>
  <si>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</si>
  <si>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</si>
  <si>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</si>
  <si>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</si>
  <si>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</si>
  <si>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</si>
  <si>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</si>
  <si>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</si>
  <si>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</si>
  <si>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</si>
  <si>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</si>
  <si>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</si>
  <si>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</si>
  <si>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</si>
  <si>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</si>
  <si>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</si>
  <si>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</si>
  <si>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</si>
  <si>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</si>
  <si>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</si>
  <si>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</si>
  <si>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</si>
  <si>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</si>
  <si>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</si>
  <si>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</si>
  <si>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</si>
  <si>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</si>
  <si>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</si>
  <si>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</si>
  <si>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</si>
  <si>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</si>
  <si>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</si>
  <si>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</si>
  <si>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</si>
  <si>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</si>
  <si>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</si>
  <si>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</si>
  <si>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</si>
  <si>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</si>
  <si>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</si>
  <si>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</si>
  <si>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</si>
  <si>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</si>
  <si>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</si>
  <si>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</si>
  <si>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</si>
  <si>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</si>
  <si>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</si>
  <si>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</si>
  <si>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</si>
  <si>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</si>
  <si>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</si>
  <si>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</si>
  <si>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</si>
  <si>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</si>
  <si>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</si>
  <si>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</si>
  <si>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</si>
  <si>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</si>
  <si>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</si>
  <si>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</si>
  <si>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</si>
  <si>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</si>
  <si>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</si>
  <si>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</si>
  <si>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</si>
  <si>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</si>
  <si>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</si>
  <si>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</si>
  <si>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</si>
  <si>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</si>
  <si>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</si>
  <si>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</si>
  <si>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</si>
  <si>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</si>
  <si>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</si>
  <si>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</si>
  <si>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</si>
  <si>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</si>
  <si>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</si>
  <si>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</si>
  <si>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</si>
  <si>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</si>
  <si>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</si>
  <si>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</si>
  <si>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</si>
  <si>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</si>
  <si>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</si>
  <si>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</si>
  <si>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</si>
  <si>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</si>
  <si>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</si>
  <si>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</si>
  <si>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</si>
  <si>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</si>
  <si>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</si>
  <si>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</si>
  <si>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</si>
  <si>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</si>
  <si>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</si>
  <si>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</si>
  <si>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</si>
  <si>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</si>
  <si>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</si>
  <si>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</si>
  <si>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</si>
  <si>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</si>
  <si>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</si>
  <si>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</si>
  <si>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</si>
  <si>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</si>
  <si>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</si>
  <si>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</si>
  <si>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</si>
  <si>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</si>
  <si>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</si>
  <si>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</si>
  <si>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</si>
  <si>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</si>
  <si>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</si>
  <si>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</si>
  <si>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</si>
  <si>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</si>
  <si>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</si>
  <si>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</si>
  <si>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</si>
  <si>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</si>
  <si>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</si>
  <si>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</si>
  <si>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</si>
  <si>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</si>
  <si>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</si>
  <si>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</si>
  <si>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</si>
  <si>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</si>
  <si>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</si>
  <si>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</si>
  <si>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</si>
  <si>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</si>
  <si>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</si>
  <si>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</si>
  <si>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</si>
  <si>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</si>
  <si>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</si>
  <si>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</si>
  <si>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</si>
  <si>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</si>
  <si>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</si>
  <si>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</si>
  <si>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</si>
  <si>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</si>
  <si>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</si>
  <si>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</si>
  <si>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</si>
  <si>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</si>
  <si>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</si>
  <si>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</si>
  <si>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</si>
  <si>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</si>
  <si>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Timberlane Regional School District</t>
  </si>
  <si>
    <t>07/1999</t>
  </si>
  <si>
    <t>08/2019</t>
  </si>
  <si>
    <t>4.25 to 5.25</t>
  </si>
  <si>
    <t>Health Insurance Trust Settlement $855,050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</si>
</sst>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zoomScaleNormal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1937882.54+1831</f>
        <v>1939713.54</v>
      </c>
      <c r="G9" s="18">
        <f>276787.57</f>
        <v>276787.57</v>
      </c>
      <c r="H9" s="18">
        <f>53044.81</f>
        <v>53044.81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905022.53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565353.92000000004</v>
      </c>
      <c r="G12" s="18"/>
      <c r="H12" s="18">
        <v>62068.03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436049.84</v>
      </c>
      <c r="G13" s="18">
        <v>25890.45</v>
      </c>
      <c r="H13" s="18">
        <v>368164.88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41461.410000000003</v>
      </c>
      <c r="G14" s="18">
        <v>740.32</v>
      </c>
      <c r="H14" s="18">
        <v>3818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31283.119999999999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4803.3999999999996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2987382.11</v>
      </c>
      <c r="G19" s="41">
        <f>SUM(G9:G18)</f>
        <v>334701.46000000002</v>
      </c>
      <c r="H19" s="41">
        <f>SUM(H9:H18)</f>
        <v>487095.72</v>
      </c>
      <c r="I19" s="41">
        <f>SUM(I9:I18)</f>
        <v>0</v>
      </c>
      <c r="J19" s="41">
        <f>SUM(J9:J18)</f>
        <v>905022.53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35000</v>
      </c>
      <c r="G22" s="18">
        <v>231537.47</v>
      </c>
      <c r="H22" s="18">
        <f>362636.74+13340.74-15093</f>
        <v>360884.47999999998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31566.29</v>
      </c>
      <c r="G23" s="18"/>
      <c r="H23" s="18">
        <v>5528.14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100185.47+60</f>
        <v>100245.47</v>
      </c>
      <c r="G24" s="18">
        <v>71120.55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160625.67000000001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13915</v>
      </c>
      <c r="G30" s="18">
        <v>32043.439999999999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341352.43000000005</v>
      </c>
      <c r="G32" s="41">
        <f>SUM(G22:G31)</f>
        <v>334701.46000000002</v>
      </c>
      <c r="H32" s="41">
        <f>SUM(H22:H31)</f>
        <v>366412.62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4803.3999999999996</v>
      </c>
      <c r="G35" s="18">
        <v>31283.119999999999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f>350679.8</f>
        <v>350679.8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-31283.119999999999</v>
      </c>
      <c r="H48" s="18">
        <f>43416.89-3712.82+80979.03</f>
        <v>120683.1</v>
      </c>
      <c r="I48" s="18"/>
      <c r="J48" s="13">
        <f>SUM(I459)</f>
        <v>905022.53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390546.48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1900000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2646029.6799999997</v>
      </c>
      <c r="G51" s="41">
        <f>SUM(G35:G50)</f>
        <v>0</v>
      </c>
      <c r="H51" s="41">
        <f>SUM(H35:H50)</f>
        <v>120683.1</v>
      </c>
      <c r="I51" s="41">
        <f>SUM(I35:I50)</f>
        <v>0</v>
      </c>
      <c r="J51" s="41">
        <f>SUM(J35:J50)</f>
        <v>905022.53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2987382.11</v>
      </c>
      <c r="G52" s="41">
        <f>G51+G32</f>
        <v>334701.46000000002</v>
      </c>
      <c r="H52" s="41">
        <f>H51+H32</f>
        <v>487095.72</v>
      </c>
      <c r="I52" s="41">
        <f>I51+I32</f>
        <v>0</v>
      </c>
      <c r="J52" s="41">
        <f>J51+J32</f>
        <v>905022.53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12850208+7366205+14980778+10520939-6194157</f>
        <v>39523973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60000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39583973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25007.02+20160+18590+82480</f>
        <v>146237.02000000002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1950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79435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f>11850</f>
        <v>11850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73728.990000000005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313201.01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4678.5600000000004</v>
      </c>
      <c r="G96" s="18"/>
      <c r="H96" s="18"/>
      <c r="I96" s="18"/>
      <c r="J96" s="18">
        <v>217.39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954715.23+24346+785</f>
        <v>979846.23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210</v>
      </c>
      <c r="G101" s="18"/>
      <c r="H101" s="18">
        <v>39315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976248.48+63339.5</f>
        <v>1039587.98</v>
      </c>
      <c r="G110" s="18"/>
      <c r="H110" s="18">
        <f>31823.18+3247+18911</f>
        <v>53981.18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1044476.54</v>
      </c>
      <c r="G111" s="41">
        <f>SUM(G96:G110)</f>
        <v>979846.23</v>
      </c>
      <c r="H111" s="41">
        <f>SUM(H96:H110)</f>
        <v>93296.18</v>
      </c>
      <c r="I111" s="41">
        <f>SUM(I96:I110)</f>
        <v>0</v>
      </c>
      <c r="J111" s="41">
        <f>SUM(J96:J110)</f>
        <v>217.39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40941650.549999997</v>
      </c>
      <c r="G112" s="41">
        <f>G60+G111</f>
        <v>979846.23</v>
      </c>
      <c r="H112" s="41">
        <f>H60+H79+H94+H111</f>
        <v>93296.18</v>
      </c>
      <c r="I112" s="41">
        <f>I60+I111</f>
        <v>0</v>
      </c>
      <c r="J112" s="41">
        <f>J60+J111</f>
        <v>217.39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11337533.59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6194157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11562.88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17543253.469999999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1103810.6599999999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658263.09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20430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20195.27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1782503.75</v>
      </c>
      <c r="G136" s="41">
        <f>SUM(G123:G135)</f>
        <v>20195.27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19325757.219999999</v>
      </c>
      <c r="G140" s="41">
        <f>G121+SUM(G136:G137)</f>
        <v>20195.27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15465.55+7383.08+335086.1</f>
        <v>357934.73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35810.02+126877.51</f>
        <v>162687.53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346103.75+85669.21</f>
        <v>431772.96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817706.16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727628.65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727628.65</v>
      </c>
      <c r="G162" s="41">
        <f>SUM(G150:G161)</f>
        <v>431772.96</v>
      </c>
      <c r="H162" s="41">
        <f>SUM(H150:H161)</f>
        <v>1338328.42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727628.65</v>
      </c>
      <c r="G169" s="41">
        <f>G147+G162+SUM(G163:G168)</f>
        <v>431772.96</v>
      </c>
      <c r="H169" s="41">
        <f>H147+H162+SUM(H163:H168)</f>
        <v>1338328.42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71603.350000000006</v>
      </c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71603.350000000006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71603.350000000006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60995036.419999994</v>
      </c>
      <c r="G193" s="47">
        <f>G112+G140+G169+G192</f>
        <v>1503417.81</v>
      </c>
      <c r="H193" s="47">
        <f>H112+H140+H169+H192</f>
        <v>1431624.5999999999</v>
      </c>
      <c r="I193" s="47">
        <f>I112+I140+I169+I192</f>
        <v>0</v>
      </c>
      <c r="J193" s="47">
        <f>J112+J140+J192</f>
        <v>200217.39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7017724.75</v>
      </c>
      <c r="G197" s="18">
        <v>3165710.4</v>
      </c>
      <c r="H197" s="18">
        <v>18812.37</v>
      </c>
      <c r="I197" s="18">
        <v>356360.36</v>
      </c>
      <c r="J197" s="18">
        <v>208329.75</v>
      </c>
      <c r="K197" s="18">
        <v>270</v>
      </c>
      <c r="L197" s="19">
        <f>SUM(F197:K197)</f>
        <v>10767207.629999999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2292884.56</v>
      </c>
      <c r="G198" s="18">
        <v>1034325.05</v>
      </c>
      <c r="H198" s="18">
        <v>285817.39</v>
      </c>
      <c r="I198" s="18">
        <v>20681.48</v>
      </c>
      <c r="J198" s="18">
        <v>8199.9599999999991</v>
      </c>
      <c r="K198" s="18"/>
      <c r="L198" s="19">
        <f>SUM(F198:K198)</f>
        <v>3641908.4400000004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73857.8</v>
      </c>
      <c r="G200" s="18">
        <v>33317.410000000003</v>
      </c>
      <c r="H200" s="18">
        <v>3959.48</v>
      </c>
      <c r="I200" s="18">
        <v>11299.72</v>
      </c>
      <c r="J200" s="18"/>
      <c r="K200" s="18"/>
      <c r="L200" s="19">
        <f>SUM(F200:K200)</f>
        <v>122434.41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1126507.75</v>
      </c>
      <c r="G202" s="18">
        <v>508170.02</v>
      </c>
      <c r="H202" s="18">
        <v>53398.02</v>
      </c>
      <c r="I202" s="18">
        <v>17573.099999999999</v>
      </c>
      <c r="J202" s="18">
        <v>2300.91</v>
      </c>
      <c r="K202" s="18">
        <v>5632.32</v>
      </c>
      <c r="L202" s="19">
        <f t="shared" ref="L202:L208" si="0">SUM(F202:K202)</f>
        <v>1713582.12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386345.81</v>
      </c>
      <c r="G203" s="18">
        <v>244891.51999999999</v>
      </c>
      <c r="H203" s="18">
        <v>55389.599999999999</v>
      </c>
      <c r="I203" s="18">
        <v>39047.660000000003</v>
      </c>
      <c r="J203" s="18">
        <v>3023.36</v>
      </c>
      <c r="K203" s="18"/>
      <c r="L203" s="19">
        <f t="shared" si="0"/>
        <v>728697.95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226733.44</v>
      </c>
      <c r="G204" s="18">
        <v>102279.93</v>
      </c>
      <c r="H204" s="18">
        <v>451786.86</v>
      </c>
      <c r="I204" s="18">
        <v>1985.7</v>
      </c>
      <c r="J204" s="18"/>
      <c r="K204" s="18">
        <v>9193.32</v>
      </c>
      <c r="L204" s="19">
        <f t="shared" si="0"/>
        <v>791979.24999999988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1057889.6499999999</v>
      </c>
      <c r="G205" s="18">
        <v>477216.25</v>
      </c>
      <c r="H205" s="18">
        <v>102341.31</v>
      </c>
      <c r="I205" s="18">
        <v>25270.14</v>
      </c>
      <c r="J205" s="18">
        <v>18781.86</v>
      </c>
      <c r="K205" s="18">
        <v>7799.5</v>
      </c>
      <c r="L205" s="19">
        <f t="shared" si="0"/>
        <v>1689298.71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25999.41</v>
      </c>
      <c r="I206" s="18"/>
      <c r="J206" s="18"/>
      <c r="K206" s="18"/>
      <c r="L206" s="19">
        <f t="shared" si="0"/>
        <v>25999.41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742977.55</v>
      </c>
      <c r="G207" s="18">
        <v>343955.57</v>
      </c>
      <c r="H207" s="18">
        <v>283103.71999999997</v>
      </c>
      <c r="I207" s="18">
        <v>660068.4</v>
      </c>
      <c r="J207" s="18">
        <v>41104.36</v>
      </c>
      <c r="K207" s="18"/>
      <c r="L207" s="19">
        <f t="shared" si="0"/>
        <v>2071209.6000000003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1024056.28</v>
      </c>
      <c r="I208" s="18"/>
      <c r="J208" s="18"/>
      <c r="K208" s="18"/>
      <c r="L208" s="19">
        <f t="shared" si="0"/>
        <v>1024056.28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52581.03</v>
      </c>
      <c r="G209" s="18">
        <v>23719.41</v>
      </c>
      <c r="H209" s="18"/>
      <c r="I209" s="18">
        <v>65488.45</v>
      </c>
      <c r="J209" s="18">
        <v>1741.13</v>
      </c>
      <c r="K209" s="18"/>
      <c r="L209" s="19">
        <f>SUM(F209:K209)</f>
        <v>143530.02000000002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12977502.340000002</v>
      </c>
      <c r="G211" s="41">
        <f t="shared" si="1"/>
        <v>5933585.5600000005</v>
      </c>
      <c r="H211" s="41">
        <f t="shared" si="1"/>
        <v>2304664.4400000004</v>
      </c>
      <c r="I211" s="41">
        <f t="shared" si="1"/>
        <v>1197775.01</v>
      </c>
      <c r="J211" s="41">
        <f t="shared" si="1"/>
        <v>283481.32999999996</v>
      </c>
      <c r="K211" s="41">
        <f t="shared" si="1"/>
        <v>22895.14</v>
      </c>
      <c r="L211" s="41">
        <f t="shared" si="1"/>
        <v>22719903.820000004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4427464.6500000004</v>
      </c>
      <c r="G215" s="18">
        <v>1997238.62</v>
      </c>
      <c r="H215" s="18">
        <v>14830.52</v>
      </c>
      <c r="I215" s="18">
        <v>191343.53</v>
      </c>
      <c r="J215" s="18">
        <v>136358.74</v>
      </c>
      <c r="K215" s="18">
        <v>1340</v>
      </c>
      <c r="L215" s="19">
        <f>SUM(F215:K215)</f>
        <v>6768576.0600000005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1740428.64</v>
      </c>
      <c r="G216" s="18">
        <v>785111.02</v>
      </c>
      <c r="H216" s="18">
        <v>314281.02</v>
      </c>
      <c r="I216" s="18">
        <v>16827.759999999998</v>
      </c>
      <c r="J216" s="18">
        <v>5066.22</v>
      </c>
      <c r="K216" s="18"/>
      <c r="L216" s="19">
        <f>SUM(F216:K216)</f>
        <v>2861714.66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102898.45</v>
      </c>
      <c r="G218" s="18">
        <v>46417.71</v>
      </c>
      <c r="H218" s="18">
        <v>26998.95</v>
      </c>
      <c r="I218" s="18">
        <v>7519.91</v>
      </c>
      <c r="J218" s="18">
        <v>4242.68</v>
      </c>
      <c r="K218" s="18">
        <v>1560</v>
      </c>
      <c r="L218" s="19">
        <f>SUM(F218:K218)</f>
        <v>189637.7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657182.81999999995</v>
      </c>
      <c r="G220" s="18">
        <v>296456.55</v>
      </c>
      <c r="H220" s="18">
        <v>33491.14</v>
      </c>
      <c r="I220" s="18">
        <v>9512.16</v>
      </c>
      <c r="J220" s="18">
        <v>1421.58</v>
      </c>
      <c r="K220" s="18">
        <v>3479.84</v>
      </c>
      <c r="L220" s="19">
        <f t="shared" ref="L220:L226" si="2">SUM(F220:K220)</f>
        <v>1001544.0899999999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150875.29</v>
      </c>
      <c r="G221" s="18">
        <v>111685.53</v>
      </c>
      <c r="H221" s="18">
        <v>32451.3</v>
      </c>
      <c r="I221" s="18">
        <v>40665.040000000001</v>
      </c>
      <c r="J221" s="18">
        <v>1877.08</v>
      </c>
      <c r="K221" s="18"/>
      <c r="L221" s="19">
        <f t="shared" si="2"/>
        <v>337554.24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140083.76</v>
      </c>
      <c r="G222" s="18">
        <v>63192.08</v>
      </c>
      <c r="H222" s="18">
        <v>279129.56</v>
      </c>
      <c r="I222" s="18">
        <v>1226.83</v>
      </c>
      <c r="J222" s="18">
        <v>5679.95</v>
      </c>
      <c r="K222" s="18"/>
      <c r="L222" s="19">
        <f t="shared" si="2"/>
        <v>489312.18000000005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527668.37</v>
      </c>
      <c r="G223" s="18">
        <v>238032.31</v>
      </c>
      <c r="H223" s="18">
        <v>30289.06</v>
      </c>
      <c r="I223" s="18">
        <v>43843.07</v>
      </c>
      <c r="J223" s="18">
        <v>16549.849999999999</v>
      </c>
      <c r="K223" s="18">
        <v>100</v>
      </c>
      <c r="L223" s="19">
        <f t="shared" si="2"/>
        <v>856482.65999999992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16063.33</v>
      </c>
      <c r="I224" s="18"/>
      <c r="J224" s="18"/>
      <c r="K224" s="18"/>
      <c r="L224" s="19">
        <f t="shared" si="2"/>
        <v>16063.33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283509.69</v>
      </c>
      <c r="G225" s="18">
        <v>133326.81</v>
      </c>
      <c r="H225" s="18">
        <v>174911.27</v>
      </c>
      <c r="I225" s="18">
        <v>269917.8</v>
      </c>
      <c r="J225" s="18">
        <v>25395.69</v>
      </c>
      <c r="K225" s="18"/>
      <c r="L225" s="19">
        <f t="shared" si="2"/>
        <v>887061.26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650019.13</v>
      </c>
      <c r="I226" s="18"/>
      <c r="J226" s="18"/>
      <c r="K226" s="18"/>
      <c r="L226" s="19">
        <f t="shared" si="2"/>
        <v>650019.13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32486.38</v>
      </c>
      <c r="G227" s="18">
        <v>14654.67</v>
      </c>
      <c r="H227" s="18"/>
      <c r="I227" s="18">
        <v>40461.03</v>
      </c>
      <c r="J227" s="18">
        <v>1075.73</v>
      </c>
      <c r="K227" s="18"/>
      <c r="L227" s="19">
        <f>SUM(F227:K227)</f>
        <v>88677.81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8062598.0500000007</v>
      </c>
      <c r="G229" s="41">
        <f>SUM(G215:G228)</f>
        <v>3686115.3</v>
      </c>
      <c r="H229" s="41">
        <f>SUM(H215:H228)</f>
        <v>1572465.28</v>
      </c>
      <c r="I229" s="41">
        <f>SUM(I215:I228)</f>
        <v>621317.13000000012</v>
      </c>
      <c r="J229" s="41">
        <f>SUM(J215:J228)</f>
        <v>197667.52</v>
      </c>
      <c r="K229" s="41">
        <f t="shared" si="3"/>
        <v>6479.84</v>
      </c>
      <c r="L229" s="41">
        <f t="shared" si="3"/>
        <v>14146643.120000001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5447020.1699999999</v>
      </c>
      <c r="G233" s="18">
        <v>2457162.2599999998</v>
      </c>
      <c r="H233" s="18">
        <v>40079.86</v>
      </c>
      <c r="I233" s="18">
        <v>369527.15</v>
      </c>
      <c r="J233" s="18">
        <v>230637.47</v>
      </c>
      <c r="K233" s="18">
        <v>3830</v>
      </c>
      <c r="L233" s="19">
        <f>SUM(F233:K233)</f>
        <v>8548256.9100000001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2090503.56</v>
      </c>
      <c r="G234" s="18">
        <v>943030.55</v>
      </c>
      <c r="H234" s="18">
        <v>1348461.05</v>
      </c>
      <c r="I234" s="18">
        <v>19270.87</v>
      </c>
      <c r="J234" s="18">
        <v>8452.24</v>
      </c>
      <c r="K234" s="18"/>
      <c r="L234" s="19">
        <f>SUM(F234:K234)</f>
        <v>4409718.2700000005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72258.080000000002</v>
      </c>
      <c r="I235" s="18"/>
      <c r="J235" s="18"/>
      <c r="K235" s="18"/>
      <c r="L235" s="19">
        <f>SUM(F235:K235)</f>
        <v>72258.080000000002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438420.92</v>
      </c>
      <c r="G236" s="18">
        <v>197772.6</v>
      </c>
      <c r="H236" s="18">
        <v>93060.18</v>
      </c>
      <c r="I236" s="18">
        <v>50339.13</v>
      </c>
      <c r="J236" s="18">
        <v>17521.650000000001</v>
      </c>
      <c r="K236" s="18">
        <v>79202.850000000006</v>
      </c>
      <c r="L236" s="19">
        <f>SUM(F236:K236)</f>
        <v>876317.33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1276914.55</v>
      </c>
      <c r="G238" s="18">
        <v>576018.84</v>
      </c>
      <c r="H238" s="18">
        <v>55377.36</v>
      </c>
      <c r="I238" s="18">
        <v>15522.89</v>
      </c>
      <c r="J238" s="18">
        <v>2060.1799999999998</v>
      </c>
      <c r="K238" s="18">
        <v>5197.05</v>
      </c>
      <c r="L238" s="19">
        <f t="shared" ref="L238:L244" si="4">SUM(F238:K238)</f>
        <v>1931090.87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152414.17000000001</v>
      </c>
      <c r="G239" s="18">
        <v>131977.01999999999</v>
      </c>
      <c r="H239" s="18">
        <v>44245.03</v>
      </c>
      <c r="I239" s="18">
        <v>37088.089999999997</v>
      </c>
      <c r="J239" s="18">
        <v>2211.3200000000002</v>
      </c>
      <c r="K239" s="18"/>
      <c r="L239" s="19">
        <f t="shared" si="4"/>
        <v>367935.62999999995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203011.92</v>
      </c>
      <c r="G240" s="18">
        <v>91579.1</v>
      </c>
      <c r="H240" s="18">
        <v>404519.6</v>
      </c>
      <c r="I240" s="18">
        <v>1777.95</v>
      </c>
      <c r="J240" s="18"/>
      <c r="K240" s="18">
        <v>8231.48</v>
      </c>
      <c r="L240" s="19">
        <f t="shared" si="4"/>
        <v>709120.04999999993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714620.95</v>
      </c>
      <c r="G241" s="18">
        <v>322367.01</v>
      </c>
      <c r="H241" s="18">
        <v>50027.96</v>
      </c>
      <c r="I241" s="18">
        <v>50182.53</v>
      </c>
      <c r="J241" s="18">
        <v>11136.16</v>
      </c>
      <c r="K241" s="18">
        <v>10421</v>
      </c>
      <c r="L241" s="19">
        <f t="shared" si="4"/>
        <v>1158755.6099999999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23279.27</v>
      </c>
      <c r="I242" s="18"/>
      <c r="J242" s="18"/>
      <c r="K242" s="18"/>
      <c r="L242" s="19">
        <f t="shared" si="4"/>
        <v>23279.27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442711.47</v>
      </c>
      <c r="G243" s="18">
        <v>207584.55</v>
      </c>
      <c r="H243" s="18">
        <v>308607.38</v>
      </c>
      <c r="I243" s="18">
        <v>453221.89</v>
      </c>
      <c r="J243" s="18">
        <v>36803.9</v>
      </c>
      <c r="K243" s="18"/>
      <c r="L243" s="19">
        <f t="shared" si="4"/>
        <v>1448929.19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1039400.03</v>
      </c>
      <c r="I244" s="18"/>
      <c r="J244" s="18"/>
      <c r="K244" s="18"/>
      <c r="L244" s="19">
        <f t="shared" si="4"/>
        <v>1039400.03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47079.85</v>
      </c>
      <c r="G245" s="18">
        <v>21237.82</v>
      </c>
      <c r="H245" s="18"/>
      <c r="I245" s="18">
        <v>58636.86</v>
      </c>
      <c r="J245" s="18">
        <v>1558.96</v>
      </c>
      <c r="K245" s="18"/>
      <c r="L245" s="19">
        <f>SUM(F245:K245)</f>
        <v>128513.49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10812697.560000001</v>
      </c>
      <c r="G247" s="41">
        <f t="shared" si="5"/>
        <v>4948729.7499999991</v>
      </c>
      <c r="H247" s="41">
        <f t="shared" si="5"/>
        <v>3479315.8</v>
      </c>
      <c r="I247" s="41">
        <f t="shared" si="5"/>
        <v>1055567.3600000001</v>
      </c>
      <c r="J247" s="41">
        <f t="shared" si="5"/>
        <v>310381.88</v>
      </c>
      <c r="K247" s="41">
        <f t="shared" si="5"/>
        <v>106882.38</v>
      </c>
      <c r="L247" s="41">
        <f t="shared" si="5"/>
        <v>20713574.73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125716.12</v>
      </c>
      <c r="G251" s="18">
        <v>56710.81</v>
      </c>
      <c r="H251" s="18"/>
      <c r="I251" s="18">
        <v>27915.58</v>
      </c>
      <c r="J251" s="18"/>
      <c r="K251" s="18"/>
      <c r="L251" s="19">
        <f t="shared" si="6"/>
        <v>210342.51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618697.36</v>
      </c>
      <c r="I255" s="18"/>
      <c r="J255" s="18"/>
      <c r="K255" s="18"/>
      <c r="L255" s="19">
        <f t="shared" si="6"/>
        <v>618697.36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125716.12</v>
      </c>
      <c r="G256" s="41">
        <f t="shared" si="7"/>
        <v>56710.81</v>
      </c>
      <c r="H256" s="41">
        <f t="shared" si="7"/>
        <v>618697.36</v>
      </c>
      <c r="I256" s="41">
        <f t="shared" si="7"/>
        <v>27915.58</v>
      </c>
      <c r="J256" s="41">
        <f t="shared" si="7"/>
        <v>0</v>
      </c>
      <c r="K256" s="41">
        <f t="shared" si="7"/>
        <v>0</v>
      </c>
      <c r="L256" s="41">
        <f>SUM(F256:K256)</f>
        <v>829039.87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31978514.070000004</v>
      </c>
      <c r="G257" s="41">
        <f t="shared" si="8"/>
        <v>14625141.42</v>
      </c>
      <c r="H257" s="41">
        <f t="shared" si="8"/>
        <v>7975142.8800000008</v>
      </c>
      <c r="I257" s="41">
        <f t="shared" si="8"/>
        <v>2902575.08</v>
      </c>
      <c r="J257" s="41">
        <f t="shared" si="8"/>
        <v>791530.73</v>
      </c>
      <c r="K257" s="41">
        <f t="shared" si="8"/>
        <v>136257.36000000002</v>
      </c>
      <c r="L257" s="41">
        <f t="shared" si="8"/>
        <v>58409161.539999999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1600000</v>
      </c>
      <c r="L260" s="19">
        <f>SUM(F260:K260)</f>
        <v>1600000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546000</v>
      </c>
      <c r="L261" s="19">
        <f>SUM(F261:K261)</f>
        <v>546000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71603.350000000006</v>
      </c>
      <c r="L263" s="19">
        <f>SUM(F263:K263)</f>
        <v>71603.350000000006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2417603.35</v>
      </c>
      <c r="L270" s="41">
        <f t="shared" si="9"/>
        <v>2417603.35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31978514.070000004</v>
      </c>
      <c r="G271" s="42">
        <f t="shared" si="11"/>
        <v>14625141.42</v>
      </c>
      <c r="H271" s="42">
        <f t="shared" si="11"/>
        <v>7975142.8800000008</v>
      </c>
      <c r="I271" s="42">
        <f t="shared" si="11"/>
        <v>2902575.08</v>
      </c>
      <c r="J271" s="42">
        <f t="shared" si="11"/>
        <v>791530.73</v>
      </c>
      <c r="K271" s="42">
        <f t="shared" si="11"/>
        <v>2553860.71</v>
      </c>
      <c r="L271" s="42">
        <f t="shared" si="11"/>
        <v>60826764.890000001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270682.11</v>
      </c>
      <c r="G276" s="18">
        <v>20488.28</v>
      </c>
      <c r="H276" s="18">
        <v>22338.93</v>
      </c>
      <c r="I276" s="18">
        <v>29937.19</v>
      </c>
      <c r="J276" s="18">
        <v>26311.33</v>
      </c>
      <c r="K276" s="18"/>
      <c r="L276" s="19">
        <f>SUM(F276:K276)</f>
        <v>369757.84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243252.92</v>
      </c>
      <c r="G277" s="18"/>
      <c r="H277" s="18">
        <v>69493.25</v>
      </c>
      <c r="I277" s="18">
        <v>282.39</v>
      </c>
      <c r="J277" s="18">
        <v>4200.5600000000004</v>
      </c>
      <c r="K277" s="18"/>
      <c r="L277" s="19">
        <f>SUM(F277:K277)</f>
        <v>317229.12000000005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197.81</v>
      </c>
      <c r="J279" s="18"/>
      <c r="K279" s="18"/>
      <c r="L279" s="19">
        <f>SUM(F279:K279)</f>
        <v>197.81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688.86</v>
      </c>
      <c r="I281" s="18">
        <v>305.64999999999998</v>
      </c>
      <c r="J281" s="18"/>
      <c r="K281" s="18"/>
      <c r="L281" s="19">
        <f t="shared" ref="L281:L287" si="12">SUM(F281:K281)</f>
        <v>994.51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1720.91</v>
      </c>
      <c r="G282" s="18"/>
      <c r="H282" s="18">
        <v>32008.92</v>
      </c>
      <c r="I282" s="18">
        <v>355.85</v>
      </c>
      <c r="J282" s="18">
        <v>992.75</v>
      </c>
      <c r="K282" s="18"/>
      <c r="L282" s="19">
        <f t="shared" si="12"/>
        <v>35078.43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12814.57</v>
      </c>
      <c r="I287" s="18"/>
      <c r="J287" s="18"/>
      <c r="K287" s="18"/>
      <c r="L287" s="19">
        <f t="shared" si="12"/>
        <v>12814.57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515655.94</v>
      </c>
      <c r="G290" s="42">
        <f t="shared" si="13"/>
        <v>20488.28</v>
      </c>
      <c r="H290" s="42">
        <f t="shared" si="13"/>
        <v>137344.53</v>
      </c>
      <c r="I290" s="42">
        <f t="shared" si="13"/>
        <v>31078.89</v>
      </c>
      <c r="J290" s="42">
        <f t="shared" si="13"/>
        <v>31504.640000000003</v>
      </c>
      <c r="K290" s="42">
        <f t="shared" si="13"/>
        <v>0</v>
      </c>
      <c r="L290" s="41">
        <f t="shared" si="13"/>
        <v>736072.28000000014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15742.45</v>
      </c>
      <c r="G295" s="18">
        <v>1104.5899999999999</v>
      </c>
      <c r="H295" s="18">
        <v>11021.51</v>
      </c>
      <c r="I295" s="18">
        <v>669.81</v>
      </c>
      <c r="J295" s="18"/>
      <c r="K295" s="18"/>
      <c r="L295" s="19">
        <f>SUM(F295:K295)</f>
        <v>28538.360000000004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150290.07</v>
      </c>
      <c r="G296" s="18"/>
      <c r="H296" s="18">
        <v>42935.34</v>
      </c>
      <c r="I296" s="18">
        <v>174.47</v>
      </c>
      <c r="J296" s="18">
        <v>2595.25</v>
      </c>
      <c r="K296" s="18"/>
      <c r="L296" s="19">
        <f>SUM(F296:K296)</f>
        <v>195995.13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122.22</v>
      </c>
      <c r="J298" s="18"/>
      <c r="K298" s="18"/>
      <c r="L298" s="19">
        <f>SUM(F298:K298)</f>
        <v>122.22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425.6</v>
      </c>
      <c r="I300" s="18"/>
      <c r="J300" s="18"/>
      <c r="K300" s="18"/>
      <c r="L300" s="19">
        <f t="shared" ref="L300:L306" si="14">SUM(F300:K300)</f>
        <v>425.6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1063.24</v>
      </c>
      <c r="G301" s="18"/>
      <c r="H301" s="18">
        <v>19776.22</v>
      </c>
      <c r="I301" s="18">
        <v>219.85</v>
      </c>
      <c r="J301" s="18">
        <v>613.36</v>
      </c>
      <c r="K301" s="18"/>
      <c r="L301" s="19">
        <f t="shared" si="14"/>
        <v>21672.670000000002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167095.76</v>
      </c>
      <c r="G309" s="42">
        <f t="shared" si="15"/>
        <v>1104.5899999999999</v>
      </c>
      <c r="H309" s="42">
        <f t="shared" si="15"/>
        <v>74158.67</v>
      </c>
      <c r="I309" s="42">
        <f t="shared" si="15"/>
        <v>1186.3499999999999</v>
      </c>
      <c r="J309" s="42">
        <f t="shared" si="15"/>
        <v>3208.61</v>
      </c>
      <c r="K309" s="42">
        <f t="shared" si="15"/>
        <v>0</v>
      </c>
      <c r="L309" s="41">
        <f t="shared" si="15"/>
        <v>246753.98000000004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22814.25</v>
      </c>
      <c r="G314" s="18">
        <v>1600.79</v>
      </c>
      <c r="H314" s="18">
        <v>15972.57</v>
      </c>
      <c r="I314" s="18">
        <v>1270.71</v>
      </c>
      <c r="J314" s="18"/>
      <c r="K314" s="18"/>
      <c r="L314" s="19">
        <f>SUM(F314:K314)</f>
        <v>41658.32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217803.09</v>
      </c>
      <c r="G315" s="18"/>
      <c r="H315" s="18">
        <v>62222.66</v>
      </c>
      <c r="I315" s="18">
        <v>252.84</v>
      </c>
      <c r="J315" s="18">
        <v>3761.08</v>
      </c>
      <c r="K315" s="18"/>
      <c r="L315" s="19">
        <f>SUM(F315:K315)</f>
        <v>284039.67000000004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29602.14</v>
      </c>
      <c r="J317" s="18"/>
      <c r="K317" s="18"/>
      <c r="L317" s="19">
        <f>SUM(F317:K317)</f>
        <v>29602.14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616.79</v>
      </c>
      <c r="I319" s="18"/>
      <c r="J319" s="18"/>
      <c r="K319" s="18"/>
      <c r="L319" s="19">
        <f t="shared" ref="L319:L325" si="16">SUM(F319:K319)</f>
        <v>616.79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1540.86</v>
      </c>
      <c r="G320" s="18"/>
      <c r="H320" s="18">
        <v>28660.06</v>
      </c>
      <c r="I320" s="18">
        <v>318.62</v>
      </c>
      <c r="J320" s="18">
        <v>888.89</v>
      </c>
      <c r="K320" s="18"/>
      <c r="L320" s="19">
        <f t="shared" si="16"/>
        <v>31408.43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242158.19999999998</v>
      </c>
      <c r="G328" s="42">
        <f t="shared" si="17"/>
        <v>1600.79</v>
      </c>
      <c r="H328" s="42">
        <f t="shared" si="17"/>
        <v>107472.08</v>
      </c>
      <c r="I328" s="42">
        <f t="shared" si="17"/>
        <v>31444.309999999998</v>
      </c>
      <c r="J328" s="42">
        <f t="shared" si="17"/>
        <v>4649.97</v>
      </c>
      <c r="K328" s="42">
        <f t="shared" si="17"/>
        <v>0</v>
      </c>
      <c r="L328" s="41">
        <f t="shared" si="17"/>
        <v>387325.35000000003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15556.97</v>
      </c>
      <c r="G335" s="18">
        <v>3388.74</v>
      </c>
      <c r="H335" s="18">
        <v>22505.93</v>
      </c>
      <c r="I335" s="18">
        <f>3869.72-0.01</f>
        <v>3869.7099999999996</v>
      </c>
      <c r="J335" s="18">
        <v>953.46</v>
      </c>
      <c r="K335" s="18"/>
      <c r="L335" s="19">
        <f t="shared" si="18"/>
        <v>46274.81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15556.97</v>
      </c>
      <c r="G337" s="41">
        <f t="shared" si="19"/>
        <v>3388.74</v>
      </c>
      <c r="H337" s="41">
        <f t="shared" si="19"/>
        <v>22505.93</v>
      </c>
      <c r="I337" s="41">
        <f t="shared" si="19"/>
        <v>3869.7099999999996</v>
      </c>
      <c r="J337" s="41">
        <f t="shared" si="19"/>
        <v>953.46</v>
      </c>
      <c r="K337" s="41">
        <f t="shared" si="19"/>
        <v>0</v>
      </c>
      <c r="L337" s="41">
        <f t="shared" si="18"/>
        <v>46274.81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940466.86999999988</v>
      </c>
      <c r="G338" s="41">
        <f t="shared" si="20"/>
        <v>26582.400000000001</v>
      </c>
      <c r="H338" s="41">
        <f t="shared" si="20"/>
        <v>341481.21</v>
      </c>
      <c r="I338" s="41">
        <f t="shared" si="20"/>
        <v>67579.259999999995</v>
      </c>
      <c r="J338" s="41">
        <f t="shared" si="20"/>
        <v>40316.68</v>
      </c>
      <c r="K338" s="41">
        <f t="shared" si="20"/>
        <v>0</v>
      </c>
      <c r="L338" s="41">
        <f t="shared" si="20"/>
        <v>1416426.4200000004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940466.86999999988</v>
      </c>
      <c r="G352" s="41">
        <f>G338</f>
        <v>26582.400000000001</v>
      </c>
      <c r="H352" s="41">
        <f>H338</f>
        <v>341481.21</v>
      </c>
      <c r="I352" s="41">
        <f>I338</f>
        <v>67579.259999999995</v>
      </c>
      <c r="J352" s="41">
        <f>J338</f>
        <v>40316.68</v>
      </c>
      <c r="K352" s="47">
        <f>K338+K351</f>
        <v>0</v>
      </c>
      <c r="L352" s="41">
        <f>L338+L351</f>
        <v>1416426.4200000004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318716.44</v>
      </c>
      <c r="G358" s="18">
        <v>62344.15</v>
      </c>
      <c r="H358" s="18">
        <v>8446.76</v>
      </c>
      <c r="I358" s="18">
        <v>291700.81</v>
      </c>
      <c r="J358" s="18"/>
      <c r="K358" s="18">
        <v>7741.09</v>
      </c>
      <c r="L358" s="13">
        <f>SUM(F358:K358)</f>
        <v>688949.25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131163.24</v>
      </c>
      <c r="G359" s="18">
        <v>25656.85</v>
      </c>
      <c r="H359" s="18">
        <v>4779.9399999999996</v>
      </c>
      <c r="I359" s="18">
        <v>174008.04</v>
      </c>
      <c r="J359" s="18"/>
      <c r="K359" s="18">
        <v>4782.71</v>
      </c>
      <c r="L359" s="19">
        <f>SUM(F359:K359)</f>
        <v>340390.78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183334.55</v>
      </c>
      <c r="G360" s="18">
        <v>35862.089999999997</v>
      </c>
      <c r="H360" s="18">
        <v>5770.07</v>
      </c>
      <c r="I360" s="18">
        <v>256953.79</v>
      </c>
      <c r="J360" s="18"/>
      <c r="K360" s="18">
        <v>6931.2</v>
      </c>
      <c r="L360" s="19">
        <f>SUM(F360:K360)</f>
        <v>488851.7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633214.23</v>
      </c>
      <c r="G362" s="47">
        <f t="shared" si="22"/>
        <v>123863.09</v>
      </c>
      <c r="H362" s="47">
        <f t="shared" si="22"/>
        <v>18996.77</v>
      </c>
      <c r="I362" s="47">
        <f t="shared" si="22"/>
        <v>722662.64</v>
      </c>
      <c r="J362" s="47">
        <f t="shared" si="22"/>
        <v>0</v>
      </c>
      <c r="K362" s="47">
        <f t="shared" si="22"/>
        <v>19455</v>
      </c>
      <c r="L362" s="47">
        <f t="shared" si="22"/>
        <v>1518191.73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222788.09</v>
      </c>
      <c r="G367" s="18">
        <v>137646.19</v>
      </c>
      <c r="H367" s="18">
        <v>199479.35</v>
      </c>
      <c r="I367" s="56">
        <f>SUM(F367:H367)</f>
        <v>559913.63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68912.72</v>
      </c>
      <c r="G368" s="63">
        <v>36361.85</v>
      </c>
      <c r="H368" s="63">
        <v>57474.44</v>
      </c>
      <c r="I368" s="56">
        <f>SUM(F368:H368)</f>
        <v>162749.01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291700.81</v>
      </c>
      <c r="G369" s="47">
        <f>SUM(G367:G368)</f>
        <v>174008.04</v>
      </c>
      <c r="H369" s="47">
        <f>SUM(H367:H368)</f>
        <v>256953.79</v>
      </c>
      <c r="I369" s="47">
        <f>SUM(I367:I368)</f>
        <v>722662.64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>
        <v>200000</v>
      </c>
      <c r="H387" s="18">
        <v>217.39</v>
      </c>
      <c r="I387" s="18"/>
      <c r="J387" s="24" t="s">
        <v>289</v>
      </c>
      <c r="K387" s="24" t="s">
        <v>289</v>
      </c>
      <c r="L387" s="56">
        <f t="shared" ref="L387:L392" si="25">SUM(F387:K387)</f>
        <v>200217.39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200000</v>
      </c>
      <c r="H393" s="139">
        <f>SUM(H387:H392)</f>
        <v>217.39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200217.39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217.39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200217.39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905022.53</v>
      </c>
      <c r="G440" s="18"/>
      <c r="H440" s="18"/>
      <c r="I440" s="56">
        <f t="shared" si="33"/>
        <v>905022.53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905022.53</v>
      </c>
      <c r="G446" s="13">
        <f>SUM(G439:G445)</f>
        <v>0</v>
      </c>
      <c r="H446" s="13">
        <f>SUM(H439:H445)</f>
        <v>0</v>
      </c>
      <c r="I446" s="13">
        <f>SUM(I439:I445)</f>
        <v>905022.53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905022.53</v>
      </c>
      <c r="G459" s="18"/>
      <c r="H459" s="18"/>
      <c r="I459" s="56">
        <f t="shared" si="34"/>
        <v>905022.53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905022.53</v>
      </c>
      <c r="G460" s="83">
        <f>SUM(G454:G459)</f>
        <v>0</v>
      </c>
      <c r="H460" s="83">
        <f>SUM(H454:H459)</f>
        <v>0</v>
      </c>
      <c r="I460" s="83">
        <f>SUM(I454:I459)</f>
        <v>905022.53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905022.53</v>
      </c>
      <c r="G461" s="42">
        <f>G452+G460</f>
        <v>0</v>
      </c>
      <c r="H461" s="42">
        <f>H452+H460</f>
        <v>0</v>
      </c>
      <c r="I461" s="42">
        <f>I452+I460</f>
        <v>905022.53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2477758.13+0.02</f>
        <v>2477758.15</v>
      </c>
      <c r="G465" s="18">
        <v>14773.92</v>
      </c>
      <c r="H465" s="18">
        <v>105484.92</v>
      </c>
      <c r="I465" s="18"/>
      <c r="J465" s="18">
        <v>704805.14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60995036.420000002</v>
      </c>
      <c r="G468" s="18">
        <v>1503417.81</v>
      </c>
      <c r="H468" s="18">
        <v>1431624.6</v>
      </c>
      <c r="I468" s="18"/>
      <c r="J468" s="18">
        <v>200217.39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60995036.420000002</v>
      </c>
      <c r="G470" s="53">
        <f>SUM(G468:G469)</f>
        <v>1503417.81</v>
      </c>
      <c r="H470" s="53">
        <f>SUM(H468:H469)</f>
        <v>1431624.6</v>
      </c>
      <c r="I470" s="53">
        <f>SUM(I468:I469)</f>
        <v>0</v>
      </c>
      <c r="J470" s="53">
        <f>SUM(J468:J469)</f>
        <v>200217.39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60826764.890000001</v>
      </c>
      <c r="G472" s="175">
        <v>1518191.73</v>
      </c>
      <c r="H472" s="18">
        <f>1370151.6+46274.82</f>
        <v>1416426.4200000002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60826764.890000001</v>
      </c>
      <c r="G474" s="53">
        <f>SUM(G472:G473)</f>
        <v>1518191.73</v>
      </c>
      <c r="H474" s="53">
        <f>SUM(H472:H473)</f>
        <v>1416426.4200000002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2646029.6799999997</v>
      </c>
      <c r="G476" s="53">
        <f>(G465+G470)- G474</f>
        <v>0</v>
      </c>
      <c r="H476" s="53">
        <f>(H465+H470)- H474</f>
        <v>120683.09999999986</v>
      </c>
      <c r="I476" s="53">
        <f>(I465+I470)- I474</f>
        <v>0</v>
      </c>
      <c r="J476" s="53">
        <f>(J465+J470)- J474</f>
        <v>905022.53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4" t="s">
        <v>914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11200000</v>
      </c>
      <c r="G495" s="18"/>
      <c r="H495" s="18"/>
      <c r="I495" s="18"/>
      <c r="J495" s="18"/>
      <c r="K495" s="53">
        <f>SUM(F495:J495)</f>
        <v>11200000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1600000</v>
      </c>
      <c r="G497" s="18"/>
      <c r="H497" s="18"/>
      <c r="I497" s="18"/>
      <c r="J497" s="18"/>
      <c r="K497" s="53">
        <f t="shared" si="35"/>
        <v>1600000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9600000</v>
      </c>
      <c r="G498" s="204"/>
      <c r="H498" s="204"/>
      <c r="I498" s="204"/>
      <c r="J498" s="204"/>
      <c r="K498" s="205">
        <f t="shared" si="35"/>
        <v>9600000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1512000</v>
      </c>
      <c r="G499" s="18"/>
      <c r="H499" s="18"/>
      <c r="I499" s="18"/>
      <c r="J499" s="18"/>
      <c r="K499" s="53">
        <f t="shared" si="35"/>
        <v>1512000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11112000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11112000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1600000</v>
      </c>
      <c r="G501" s="204"/>
      <c r="H501" s="204"/>
      <c r="I501" s="204"/>
      <c r="J501" s="204"/>
      <c r="K501" s="205">
        <f t="shared" si="35"/>
        <v>1600000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462000</v>
      </c>
      <c r="G502" s="18"/>
      <c r="H502" s="18"/>
      <c r="I502" s="18"/>
      <c r="J502" s="18"/>
      <c r="K502" s="53">
        <f t="shared" si="35"/>
        <v>462000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2062000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2062000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2413044.33</v>
      </c>
      <c r="G521" s="18">
        <v>978797.47</v>
      </c>
      <c r="H521" s="18">
        <v>351730.98</v>
      </c>
      <c r="I521" s="18">
        <v>20738.63</v>
      </c>
      <c r="J521" s="18">
        <v>12400.52</v>
      </c>
      <c r="K521" s="18"/>
      <c r="L521" s="88">
        <f>SUM(F521:K521)</f>
        <v>3776711.9299999997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1814678.76</v>
      </c>
      <c r="G522" s="18">
        <v>750809.24</v>
      </c>
      <c r="H522" s="18">
        <v>355005.05</v>
      </c>
      <c r="I522" s="18">
        <v>16863.09</v>
      </c>
      <c r="J522" s="18">
        <v>7661.47</v>
      </c>
      <c r="K522" s="18"/>
      <c r="L522" s="88">
        <f>SUM(F522:K522)</f>
        <v>2945017.61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2198082.75</v>
      </c>
      <c r="G523" s="18">
        <v>893308.32</v>
      </c>
      <c r="H523" s="18">
        <v>1407478.29</v>
      </c>
      <c r="I523" s="18">
        <v>19322.02</v>
      </c>
      <c r="J523" s="18">
        <v>12213.32</v>
      </c>
      <c r="K523" s="18"/>
      <c r="L523" s="88">
        <f>SUM(F523:K523)</f>
        <v>4530404.6999999993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6425805.8399999999</v>
      </c>
      <c r="G524" s="108">
        <f t="shared" ref="G524:L524" si="36">SUM(G521:G523)</f>
        <v>2622915.0299999998</v>
      </c>
      <c r="H524" s="108">
        <f t="shared" si="36"/>
        <v>2114214.3200000003</v>
      </c>
      <c r="I524" s="108">
        <f t="shared" si="36"/>
        <v>56923.740000000005</v>
      </c>
      <c r="J524" s="108">
        <f t="shared" si="36"/>
        <v>32275.31</v>
      </c>
      <c r="K524" s="108">
        <f t="shared" si="36"/>
        <v>0</v>
      </c>
      <c r="L524" s="89">
        <f t="shared" si="36"/>
        <v>11252134.239999998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468071.71</v>
      </c>
      <c r="G526" s="18">
        <v>211148.13</v>
      </c>
      <c r="H526" s="18">
        <v>49201.23</v>
      </c>
      <c r="I526" s="18">
        <v>5550.96</v>
      </c>
      <c r="J526" s="18">
        <v>1529.84</v>
      </c>
      <c r="K526" s="18">
        <v>5632.35</v>
      </c>
      <c r="L526" s="88">
        <f>SUM(F526:K526)</f>
        <v>741134.22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289148.09000000003</v>
      </c>
      <c r="G527" s="18">
        <v>130435.31</v>
      </c>
      <c r="H527" s="18">
        <v>30393.73</v>
      </c>
      <c r="I527" s="18">
        <v>3429.07</v>
      </c>
      <c r="J527" s="18">
        <v>945.05</v>
      </c>
      <c r="K527" s="18">
        <v>3479.35</v>
      </c>
      <c r="L527" s="88">
        <f>SUM(F527:K527)</f>
        <v>457830.6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419135.33</v>
      </c>
      <c r="G528" s="18">
        <v>189072.83</v>
      </c>
      <c r="H528" s="18">
        <v>44057.3</v>
      </c>
      <c r="I528" s="18">
        <v>4970.62</v>
      </c>
      <c r="J528" s="18">
        <v>1369.9</v>
      </c>
      <c r="K528" s="18">
        <v>5043.5</v>
      </c>
      <c r="L528" s="88">
        <f>SUM(F528:K528)</f>
        <v>663649.4800000001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1176355.1300000001</v>
      </c>
      <c r="G529" s="89">
        <f t="shared" ref="G529:L529" si="37">SUM(G526:G528)</f>
        <v>530656.27</v>
      </c>
      <c r="H529" s="89">
        <f t="shared" si="37"/>
        <v>123652.26000000001</v>
      </c>
      <c r="I529" s="89">
        <f t="shared" si="37"/>
        <v>13950.650000000001</v>
      </c>
      <c r="J529" s="89">
        <f t="shared" si="37"/>
        <v>3844.79</v>
      </c>
      <c r="K529" s="89">
        <f t="shared" si="37"/>
        <v>14155.2</v>
      </c>
      <c r="L529" s="89">
        <f t="shared" si="37"/>
        <v>1862614.2999999998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123093.15</v>
      </c>
      <c r="G531" s="18">
        <v>55527.58</v>
      </c>
      <c r="H531" s="18">
        <v>3579.66</v>
      </c>
      <c r="I531" s="18">
        <v>225.24</v>
      </c>
      <c r="J531" s="18"/>
      <c r="K531" s="18"/>
      <c r="L531" s="88">
        <f>SUM(F531:K531)</f>
        <v>182425.62999999998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76039.95</v>
      </c>
      <c r="G532" s="18">
        <v>34301.78</v>
      </c>
      <c r="H532" s="18">
        <v>2211.31</v>
      </c>
      <c r="I532" s="18">
        <v>139.13999999999999</v>
      </c>
      <c r="J532" s="18"/>
      <c r="K532" s="18"/>
      <c r="L532" s="88">
        <f>SUM(F532:K532)</f>
        <v>112692.18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110223.9</v>
      </c>
      <c r="G533" s="18">
        <v>49722.23</v>
      </c>
      <c r="H533" s="18">
        <v>3205.42</v>
      </c>
      <c r="I533" s="18">
        <v>201.69</v>
      </c>
      <c r="J533" s="18"/>
      <c r="K533" s="18"/>
      <c r="L533" s="88">
        <f>SUM(F533:K533)</f>
        <v>163353.24000000002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309357</v>
      </c>
      <c r="G534" s="89">
        <f t="shared" ref="G534:L534" si="38">SUM(G531:G533)</f>
        <v>139551.59</v>
      </c>
      <c r="H534" s="89">
        <f t="shared" si="38"/>
        <v>8996.39</v>
      </c>
      <c r="I534" s="89">
        <f t="shared" si="38"/>
        <v>566.06999999999994</v>
      </c>
      <c r="J534" s="89">
        <f t="shared" si="38"/>
        <v>0</v>
      </c>
      <c r="K534" s="89">
        <f t="shared" si="38"/>
        <v>0</v>
      </c>
      <c r="L534" s="89">
        <f t="shared" si="38"/>
        <v>458471.04999999993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16780.14</v>
      </c>
      <c r="I536" s="18"/>
      <c r="J536" s="18"/>
      <c r="K536" s="18"/>
      <c r="L536" s="88">
        <f>SUM(F536:K536)</f>
        <v>16780.14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10365.81</v>
      </c>
      <c r="I537" s="18"/>
      <c r="J537" s="18"/>
      <c r="K537" s="18"/>
      <c r="L537" s="88">
        <f>SUM(F537:K537)</f>
        <v>10365.81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15025.79</v>
      </c>
      <c r="I538" s="18"/>
      <c r="J538" s="18"/>
      <c r="K538" s="18"/>
      <c r="L538" s="88">
        <f>SUM(F538:K538)</f>
        <v>15025.79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42171.74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42171.74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311158.01</v>
      </c>
      <c r="I541" s="18"/>
      <c r="J541" s="18"/>
      <c r="K541" s="18"/>
      <c r="L541" s="88">
        <f>SUM(F541:K541)</f>
        <v>311158.01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192215.73</v>
      </c>
      <c r="I542" s="18"/>
      <c r="J542" s="18"/>
      <c r="K542" s="18"/>
      <c r="L542" s="88">
        <f>SUM(F542:K542)</f>
        <v>192215.73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278626.78000000003</v>
      </c>
      <c r="I543" s="18"/>
      <c r="J543" s="18"/>
      <c r="K543" s="18"/>
      <c r="L543" s="88">
        <f>SUM(F543:K543)</f>
        <v>278626.78000000003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782000.52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782000.52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7911517.9699999997</v>
      </c>
      <c r="G545" s="89">
        <f t="shared" ref="G545:L545" si="41">G524+G529+G534+G539+G544</f>
        <v>3293122.8899999997</v>
      </c>
      <c r="H545" s="89">
        <f t="shared" si="41"/>
        <v>3071035.2300000004</v>
      </c>
      <c r="I545" s="89">
        <f t="shared" si="41"/>
        <v>71440.460000000021</v>
      </c>
      <c r="J545" s="89">
        <f t="shared" si="41"/>
        <v>36120.1</v>
      </c>
      <c r="K545" s="89">
        <f t="shared" si="41"/>
        <v>14155.2</v>
      </c>
      <c r="L545" s="89">
        <f t="shared" si="41"/>
        <v>14397391.85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3776711.9299999997</v>
      </c>
      <c r="G549" s="87">
        <f>L526</f>
        <v>741134.22</v>
      </c>
      <c r="H549" s="87">
        <f>L531</f>
        <v>182425.62999999998</v>
      </c>
      <c r="I549" s="87">
        <f>L536</f>
        <v>16780.14</v>
      </c>
      <c r="J549" s="87">
        <f>L541</f>
        <v>311158.01</v>
      </c>
      <c r="K549" s="87">
        <f>SUM(F549:J549)</f>
        <v>5028209.9299999988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2945017.61</v>
      </c>
      <c r="G550" s="87">
        <f>L527</f>
        <v>457830.6</v>
      </c>
      <c r="H550" s="87">
        <f>L532</f>
        <v>112692.18</v>
      </c>
      <c r="I550" s="87">
        <f>L537</f>
        <v>10365.81</v>
      </c>
      <c r="J550" s="87">
        <f>L542</f>
        <v>192215.73</v>
      </c>
      <c r="K550" s="87">
        <f>SUM(F550:J550)</f>
        <v>3718121.93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4530404.6999999993</v>
      </c>
      <c r="G551" s="87">
        <f>L528</f>
        <v>663649.4800000001</v>
      </c>
      <c r="H551" s="87">
        <f>L533</f>
        <v>163353.24000000002</v>
      </c>
      <c r="I551" s="87">
        <f>L538</f>
        <v>15025.79</v>
      </c>
      <c r="J551" s="87">
        <f>L543</f>
        <v>278626.78000000003</v>
      </c>
      <c r="K551" s="87">
        <f>SUM(F551:J551)</f>
        <v>5651059.9900000002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11252134.239999998</v>
      </c>
      <c r="G552" s="89">
        <f t="shared" si="42"/>
        <v>1862614.2999999998</v>
      </c>
      <c r="H552" s="89">
        <f t="shared" si="42"/>
        <v>458471.04999999993</v>
      </c>
      <c r="I552" s="89">
        <f t="shared" si="42"/>
        <v>42171.74</v>
      </c>
      <c r="J552" s="89">
        <f t="shared" si="42"/>
        <v>782000.52</v>
      </c>
      <c r="K552" s="89">
        <f t="shared" si="42"/>
        <v>14397391.85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237054.12</v>
      </c>
      <c r="G567" s="18"/>
      <c r="H567" s="18"/>
      <c r="I567" s="18">
        <v>1318.39</v>
      </c>
      <c r="J567" s="18"/>
      <c r="K567" s="18"/>
      <c r="L567" s="88">
        <f>SUM(F567:K567)</f>
        <v>238372.51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62510.67</v>
      </c>
      <c r="G568" s="18"/>
      <c r="H568" s="18"/>
      <c r="I568" s="18">
        <f>2065.84+1294.65</f>
        <v>3360.4900000000002</v>
      </c>
      <c r="J568" s="18"/>
      <c r="K568" s="18"/>
      <c r="L568" s="88">
        <f>SUM(F568:K568)</f>
        <v>65871.16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>
        <f>1300+1690.5</f>
        <v>2990.5</v>
      </c>
      <c r="I569" s="18">
        <v>573.11</v>
      </c>
      <c r="J569" s="18"/>
      <c r="K569" s="18"/>
      <c r="L569" s="88">
        <f>SUM(F569:K569)</f>
        <v>3563.61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299564.78999999998</v>
      </c>
      <c r="G570" s="193">
        <f t="shared" ref="G570:L570" si="45">SUM(G567:G569)</f>
        <v>0</v>
      </c>
      <c r="H570" s="193">
        <f t="shared" si="45"/>
        <v>2990.5</v>
      </c>
      <c r="I570" s="193">
        <f t="shared" si="45"/>
        <v>5251.99</v>
      </c>
      <c r="J570" s="193">
        <f t="shared" si="45"/>
        <v>0</v>
      </c>
      <c r="K570" s="193">
        <f t="shared" si="45"/>
        <v>0</v>
      </c>
      <c r="L570" s="193">
        <f t="shared" si="45"/>
        <v>307807.28000000003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299564.78999999998</v>
      </c>
      <c r="G571" s="89">
        <f t="shared" ref="G571:L571" si="46">G560+G565+G570</f>
        <v>0</v>
      </c>
      <c r="H571" s="89">
        <f t="shared" si="46"/>
        <v>2990.5</v>
      </c>
      <c r="I571" s="89">
        <f t="shared" si="46"/>
        <v>5251.99</v>
      </c>
      <c r="J571" s="89">
        <f t="shared" si="46"/>
        <v>0</v>
      </c>
      <c r="K571" s="89">
        <f t="shared" si="46"/>
        <v>0</v>
      </c>
      <c r="L571" s="89">
        <f t="shared" si="46"/>
        <v>307807.28000000003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185575.87</v>
      </c>
      <c r="G582" s="18">
        <v>252028.34</v>
      </c>
      <c r="H582" s="18">
        <v>1257787.0900000001</v>
      </c>
      <c r="I582" s="87">
        <f t="shared" si="47"/>
        <v>1695391.3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72258.080000000002</v>
      </c>
      <c r="I584" s="87">
        <f t="shared" si="47"/>
        <v>72258.080000000002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682428.88</v>
      </c>
      <c r="I591" s="18">
        <v>434529.24</v>
      </c>
      <c r="J591" s="18">
        <v>614737.75</v>
      </c>
      <c r="K591" s="104">
        <f t="shared" ref="K591:K597" si="48">SUM(H591:J591)</f>
        <v>1731695.87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311158.01</v>
      </c>
      <c r="I592" s="18">
        <v>192215.73</v>
      </c>
      <c r="J592" s="18">
        <v>278626.78000000003</v>
      </c>
      <c r="K592" s="104">
        <f t="shared" si="48"/>
        <v>782000.52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52322.25</v>
      </c>
      <c r="K593" s="104">
        <f t="shared" si="48"/>
        <v>52322.25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16770.060000000001</v>
      </c>
      <c r="J594" s="18">
        <v>70499.06</v>
      </c>
      <c r="K594" s="104">
        <f t="shared" si="48"/>
        <v>87269.119999999995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9634.3700000000008</v>
      </c>
      <c r="I595" s="18">
        <v>6504.1</v>
      </c>
      <c r="J595" s="18">
        <v>8288.59</v>
      </c>
      <c r="K595" s="104">
        <f t="shared" si="48"/>
        <v>24427.06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33649.59-3869.46-8945.11</f>
        <v>20835.019999999997</v>
      </c>
      <c r="I597" s="18"/>
      <c r="J597" s="18">
        <v>14925.6</v>
      </c>
      <c r="K597" s="104">
        <f t="shared" si="48"/>
        <v>35760.619999999995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1024056.28</v>
      </c>
      <c r="I598" s="108">
        <f>SUM(I591:I597)</f>
        <v>650019.13</v>
      </c>
      <c r="J598" s="108">
        <f>SUM(J591:J597)</f>
        <v>1039400.03</v>
      </c>
      <c r="K598" s="108">
        <f>SUM(K591:K597)</f>
        <v>2713475.4400000004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314985.96999999997</v>
      </c>
      <c r="I604" s="18">
        <v>200876.13</v>
      </c>
      <c r="J604" s="18">
        <f>315031.85+953.46</f>
        <v>315985.31</v>
      </c>
      <c r="K604" s="104">
        <f>SUM(H604:J604)</f>
        <v>831847.40999999992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314985.96999999997</v>
      </c>
      <c r="I605" s="108">
        <f>SUM(I602:I604)</f>
        <v>200876.13</v>
      </c>
      <c r="J605" s="108">
        <f>SUM(J602:J604)</f>
        <v>315985.31</v>
      </c>
      <c r="K605" s="108">
        <f>SUM(K602:K604)</f>
        <v>831847.40999999992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20610</v>
      </c>
      <c r="G613" s="18"/>
      <c r="H613" s="18">
        <v>1100</v>
      </c>
      <c r="I613" s="18">
        <v>630</v>
      </c>
      <c r="J613" s="18"/>
      <c r="K613" s="18"/>
      <c r="L613" s="88">
        <f>SUM(F613:K613)</f>
        <v>22340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20610</v>
      </c>
      <c r="G614" s="108">
        <f t="shared" si="49"/>
        <v>0</v>
      </c>
      <c r="H614" s="108">
        <f t="shared" si="49"/>
        <v>1100</v>
      </c>
      <c r="I614" s="108">
        <f t="shared" si="49"/>
        <v>630</v>
      </c>
      <c r="J614" s="108">
        <f t="shared" si="49"/>
        <v>0</v>
      </c>
      <c r="K614" s="108">
        <f t="shared" si="49"/>
        <v>0</v>
      </c>
      <c r="L614" s="89">
        <f t="shared" si="49"/>
        <v>22340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2987382.11</v>
      </c>
      <c r="H617" s="109">
        <f>SUM(F52)</f>
        <v>2987382.11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334701.46000000002</v>
      </c>
      <c r="H618" s="109">
        <f>SUM(G52)</f>
        <v>334701.46000000002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487095.72</v>
      </c>
      <c r="H619" s="109">
        <f>SUM(H52)</f>
        <v>487095.72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905022.53</v>
      </c>
      <c r="H621" s="109">
        <f>SUM(J52)</f>
        <v>905022.53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2646029.6799999997</v>
      </c>
      <c r="H622" s="109">
        <f>F476</f>
        <v>2646029.6799999997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120683.1</v>
      </c>
      <c r="H624" s="109">
        <f>H476</f>
        <v>120683.09999999986</v>
      </c>
      <c r="I624" s="121" t="s">
        <v>103</v>
      </c>
      <c r="J624" s="109">
        <f t="shared" si="50"/>
        <v>1.4551915228366852E-10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905022.53</v>
      </c>
      <c r="H626" s="109">
        <f>J476</f>
        <v>905022.53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60995036.419999994</v>
      </c>
      <c r="H627" s="104">
        <f>SUM(F468)</f>
        <v>60995036.420000002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1503417.81</v>
      </c>
      <c r="H628" s="104">
        <f>SUM(G468)</f>
        <v>1503417.81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1431624.5999999999</v>
      </c>
      <c r="H629" s="104">
        <f>SUM(H468)</f>
        <v>1431624.6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200217.39</v>
      </c>
      <c r="H631" s="104">
        <f>SUM(J468)</f>
        <v>200217.39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60826764.890000001</v>
      </c>
      <c r="H632" s="104">
        <f>SUM(F472)</f>
        <v>60826764.890000001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1416426.4200000004</v>
      </c>
      <c r="H633" s="104">
        <f>SUM(H472)</f>
        <v>1416426.4200000002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722662.64</v>
      </c>
      <c r="H634" s="104">
        <f>I369</f>
        <v>722662.64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1518191.73</v>
      </c>
      <c r="H635" s="104">
        <f>SUM(G472)</f>
        <v>1518191.73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200217.39</v>
      </c>
      <c r="H637" s="164">
        <f>SUM(J468)</f>
        <v>200217.39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905022.53</v>
      </c>
      <c r="H639" s="104">
        <f>SUM(F461)</f>
        <v>905022.53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905022.53</v>
      </c>
      <c r="H642" s="104">
        <f>SUM(I461)</f>
        <v>905022.53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217.39</v>
      </c>
      <c r="H644" s="104">
        <f>H408</f>
        <v>217.39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200217.39</v>
      </c>
      <c r="H646" s="104">
        <f>L408</f>
        <v>200217.39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2713475.4400000004</v>
      </c>
      <c r="H647" s="104">
        <f>L208+L226+L244</f>
        <v>2713475.4400000004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831847.40999999992</v>
      </c>
      <c r="H648" s="104">
        <f>(J257+J338)-(J255+J336)</f>
        <v>831847.41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1024056.28</v>
      </c>
      <c r="H649" s="104">
        <f>H598</f>
        <v>1024056.28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650019.13</v>
      </c>
      <c r="H650" s="104">
        <f>I598</f>
        <v>650019.13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1039400.03</v>
      </c>
      <c r="H651" s="104">
        <f>J598</f>
        <v>1039400.03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71603.350000000006</v>
      </c>
      <c r="H652" s="104">
        <f>K263+K345</f>
        <v>71603.350000000006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24144925.350000005</v>
      </c>
      <c r="G660" s="19">
        <f>(L229+L309+L359)</f>
        <v>14733787.880000001</v>
      </c>
      <c r="H660" s="19">
        <f>(L247+L328+L360)</f>
        <v>21589751.780000001</v>
      </c>
      <c r="I660" s="19">
        <f>SUM(F660:H660)</f>
        <v>60468465.010000005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444650.24537699699</v>
      </c>
      <c r="G661" s="19">
        <f>(L359/IF(SUM(L358:L360)=0,1,SUM(L358:L360))*(SUM(G97:G110)))</f>
        <v>219689.39490255254</v>
      </c>
      <c r="H661" s="19">
        <f>(L360/IF(SUM(L358:L360)=0,1,SUM(L358:L360))*(SUM(G97:G110)))</f>
        <v>315506.58972045057</v>
      </c>
      <c r="I661" s="19">
        <f>SUM(F661:H661)</f>
        <v>979846.2300000001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1036870.85</v>
      </c>
      <c r="G662" s="19">
        <f>(L226+L306)-(J226+J306)</f>
        <v>650019.13</v>
      </c>
      <c r="H662" s="19">
        <f>(L244+L325)-(J244+J325)</f>
        <v>1039400.03</v>
      </c>
      <c r="I662" s="19">
        <f>SUM(F662:H662)</f>
        <v>2726290.01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500561.83999999997</v>
      </c>
      <c r="G663" s="199">
        <f>SUM(G575:G587)+SUM(I602:I604)+L612</f>
        <v>452904.47</v>
      </c>
      <c r="H663" s="199">
        <f>SUM(H575:H587)+SUM(J602:J604)+L613</f>
        <v>1668370.4800000002</v>
      </c>
      <c r="I663" s="19">
        <f>SUM(F663:H663)</f>
        <v>2621836.79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22162842.414623007</v>
      </c>
      <c r="G664" s="19">
        <f>G660-SUM(G661:G663)</f>
        <v>13411174.885097448</v>
      </c>
      <c r="H664" s="19">
        <f>H660-SUM(H661:H663)</f>
        <v>18566474.680279549</v>
      </c>
      <c r="I664" s="19">
        <f>I660-SUM(I661:I663)</f>
        <v>54140491.980000004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1494.51</v>
      </c>
      <c r="G665" s="248">
        <v>923.36</v>
      </c>
      <c r="H665" s="248">
        <v>1338.15</v>
      </c>
      <c r="I665" s="19">
        <f>SUM(F665:H665)</f>
        <v>3756.02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14829.5</v>
      </c>
      <c r="G667" s="19">
        <f>ROUND(G664/G665,2)</f>
        <v>14524.32</v>
      </c>
      <c r="H667" s="19">
        <f>ROUND(H664/H665,2)</f>
        <v>13874.73</v>
      </c>
      <c r="I667" s="19">
        <f>ROUND(I664/I665,2)</f>
        <v>14414.32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-21.69</v>
      </c>
      <c r="I670" s="19">
        <f>SUM(F670:H670)</f>
        <v>-21.69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14829.5</v>
      </c>
      <c r="G672" s="19">
        <f>ROUND((G664+G669)/(G665+G670),2)</f>
        <v>14524.32</v>
      </c>
      <c r="H672" s="19">
        <f>ROUND((H664+H669)/(H665+H670),2)</f>
        <v>14103.33</v>
      </c>
      <c r="I672" s="19">
        <f>ROUND((I664+I669)/(I665+I670),2)</f>
        <v>14498.05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Timberlane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17201448.379999999</v>
      </c>
      <c r="C9" s="229">
        <f>'DOE25'!G197+'DOE25'!G215+'DOE25'!G233+'DOE25'!G276+'DOE25'!G295+'DOE25'!G314</f>
        <v>7643304.9399999995</v>
      </c>
    </row>
    <row r="10" spans="1:3" x14ac:dyDescent="0.2">
      <c r="A10" t="s">
        <v>779</v>
      </c>
      <c r="B10" s="240">
        <v>15380716.390000001</v>
      </c>
      <c r="C10" s="240">
        <f>(B10/B9)*C9</f>
        <v>6834279.4727164702</v>
      </c>
    </row>
    <row r="11" spans="1:3" x14ac:dyDescent="0.2">
      <c r="A11" t="s">
        <v>780</v>
      </c>
      <c r="B11" s="240">
        <v>1236000.75</v>
      </c>
      <c r="C11" s="240">
        <f t="shared" ref="C11:C12" si="0">(B11/B10)*C10</f>
        <v>549205.53372138226</v>
      </c>
    </row>
    <row r="12" spans="1:3" x14ac:dyDescent="0.2">
      <c r="A12" t="s">
        <v>781</v>
      </c>
      <c r="B12" s="240">
        <f>B9-B10-B11</f>
        <v>584731.23999999836</v>
      </c>
      <c r="C12" s="240">
        <f t="shared" si="0"/>
        <v>259819.93356214772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17201448.379999999</v>
      </c>
      <c r="C13" s="231">
        <f>SUM(C10:C12)</f>
        <v>7643304.9400000004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6735162.8399999999</v>
      </c>
      <c r="C18" s="229">
        <f>'DOE25'!G198+'DOE25'!G216+'DOE25'!G234+'DOE25'!G277+'DOE25'!G296+'DOE25'!G315</f>
        <v>2762466.62</v>
      </c>
    </row>
    <row r="19" spans="1:3" x14ac:dyDescent="0.2">
      <c r="A19" t="s">
        <v>779</v>
      </c>
      <c r="B19" s="240">
        <v>4097311.71</v>
      </c>
      <c r="C19" s="240">
        <f>(B19/B18)*C18</f>
        <v>1680536.476919112</v>
      </c>
    </row>
    <row r="20" spans="1:3" x14ac:dyDescent="0.2">
      <c r="A20" t="s">
        <v>780</v>
      </c>
      <c r="B20" s="240">
        <v>2206432.6</v>
      </c>
      <c r="C20" s="240">
        <f t="shared" ref="C20:C21" si="1">(B20/B19)*C19</f>
        <v>904981.29764295544</v>
      </c>
    </row>
    <row r="21" spans="1:3" x14ac:dyDescent="0.2">
      <c r="A21" t="s">
        <v>781</v>
      </c>
      <c r="B21" s="240">
        <f>B18-B19-B20</f>
        <v>431418.5299999998</v>
      </c>
      <c r="C21" s="240">
        <f t="shared" si="1"/>
        <v>176948.84543793276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6735162.8399999999</v>
      </c>
      <c r="C22" s="231">
        <f>SUM(C19:C21)</f>
        <v>2762466.62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615177.16999999993</v>
      </c>
      <c r="C36" s="235">
        <f>'DOE25'!G200+'DOE25'!G218+'DOE25'!G236+'DOE25'!G279+'DOE25'!G298+'DOE25'!G317</f>
        <v>277507.71999999997</v>
      </c>
    </row>
    <row r="37" spans="1:3" x14ac:dyDescent="0.2">
      <c r="A37" t="s">
        <v>779</v>
      </c>
      <c r="B37" s="240">
        <v>482834.5</v>
      </c>
      <c r="C37" s="240">
        <f>(B37/B36)*C36</f>
        <v>217807.66219321825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B36-B37</f>
        <v>132342.66999999993</v>
      </c>
      <c r="C39" s="240">
        <f>C36-C37</f>
        <v>59700.057806781726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615177.16999999993</v>
      </c>
      <c r="C40" s="231">
        <f>SUM(C37:C39)</f>
        <v>277507.71999999997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Timberlane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38258029.489999995</v>
      </c>
      <c r="D5" s="20">
        <f>SUM('DOE25'!L197:L200)+SUM('DOE25'!L215:L218)+SUM('DOE25'!L233:L236)-F5-G5</f>
        <v>37553017.929999992</v>
      </c>
      <c r="E5" s="243"/>
      <c r="F5" s="255">
        <f>SUM('DOE25'!J197:J200)+SUM('DOE25'!J215:J218)+SUM('DOE25'!J233:J236)</f>
        <v>618808.71</v>
      </c>
      <c r="G5" s="53">
        <f>SUM('DOE25'!K197:K200)+SUM('DOE25'!K215:K218)+SUM('DOE25'!K233:K236)</f>
        <v>86202.85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4646217.08</v>
      </c>
      <c r="D6" s="20">
        <f>'DOE25'!L202+'DOE25'!L220+'DOE25'!L238-F6-G6</f>
        <v>4626125.2</v>
      </c>
      <c r="E6" s="243"/>
      <c r="F6" s="255">
        <f>'DOE25'!J202+'DOE25'!J220+'DOE25'!J238</f>
        <v>5782.67</v>
      </c>
      <c r="G6" s="53">
        <f>'DOE25'!K202+'DOE25'!K220+'DOE25'!K238</f>
        <v>14309.21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1434187.8199999998</v>
      </c>
      <c r="D7" s="20">
        <f>'DOE25'!L203+'DOE25'!L221+'DOE25'!L239-F7-G7</f>
        <v>1427076.0599999998</v>
      </c>
      <c r="E7" s="243"/>
      <c r="F7" s="255">
        <f>'DOE25'!J203+'DOE25'!J221+'DOE25'!J239</f>
        <v>7111.76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1674557.57</v>
      </c>
      <c r="D8" s="243"/>
      <c r="E8" s="20">
        <f>'DOE25'!L204+'DOE25'!L222+'DOE25'!L240-F8-G8-D9-D11</f>
        <v>1651452.82</v>
      </c>
      <c r="F8" s="255">
        <f>'DOE25'!J204+'DOE25'!J222+'DOE25'!J240</f>
        <v>5679.95</v>
      </c>
      <c r="G8" s="53">
        <f>'DOE25'!K204+'DOE25'!K222+'DOE25'!K240</f>
        <v>17424.8</v>
      </c>
      <c r="H8" s="259"/>
    </row>
    <row r="9" spans="1:9" x14ac:dyDescent="0.2">
      <c r="A9" s="32">
        <v>2310</v>
      </c>
      <c r="B9" t="s">
        <v>818</v>
      </c>
      <c r="C9" s="245">
        <f t="shared" si="0"/>
        <v>8449.9699999999993</v>
      </c>
      <c r="D9" s="244">
        <v>8449.9699999999993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23420.5</v>
      </c>
      <c r="D10" s="243"/>
      <c r="E10" s="244">
        <v>23420.5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307403.94</v>
      </c>
      <c r="D11" s="244">
        <v>307403.94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3704536.98</v>
      </c>
      <c r="D12" s="20">
        <f>'DOE25'!L205+'DOE25'!L223+'DOE25'!L241-F12-G12</f>
        <v>3639748.61</v>
      </c>
      <c r="E12" s="243"/>
      <c r="F12" s="255">
        <f>'DOE25'!J205+'DOE25'!J223+'DOE25'!J241</f>
        <v>46467.869999999995</v>
      </c>
      <c r="G12" s="53">
        <f>'DOE25'!K205+'DOE25'!K223+'DOE25'!K241</f>
        <v>18320.5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65342.009999999995</v>
      </c>
      <c r="D13" s="243"/>
      <c r="E13" s="20">
        <f>'DOE25'!L206+'DOE25'!L224+'DOE25'!L242-F13-G13</f>
        <v>65342.009999999995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4407200.0500000007</v>
      </c>
      <c r="D14" s="20">
        <f>'DOE25'!L207+'DOE25'!L225+'DOE25'!L243-F14-G14</f>
        <v>4303896.1000000006</v>
      </c>
      <c r="E14" s="243"/>
      <c r="F14" s="255">
        <f>'DOE25'!J207+'DOE25'!J225+'DOE25'!J243</f>
        <v>103303.95000000001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2713475.4400000004</v>
      </c>
      <c r="D15" s="20">
        <f>'DOE25'!L208+'DOE25'!L226+'DOE25'!L244-F15-G15</f>
        <v>2713475.4400000004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360721.32</v>
      </c>
      <c r="D16" s="243"/>
      <c r="E16" s="20">
        <f>'DOE25'!L209+'DOE25'!L227+'DOE25'!L245-F16-G16</f>
        <v>356345.5</v>
      </c>
      <c r="F16" s="255">
        <f>'DOE25'!J209+'DOE25'!J227+'DOE25'!J245</f>
        <v>4375.82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210342.51</v>
      </c>
      <c r="D17" s="20">
        <f>'DOE25'!L251-F17-G17</f>
        <v>210342.51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618697.36</v>
      </c>
      <c r="D22" s="243"/>
      <c r="E22" s="243"/>
      <c r="F22" s="255">
        <f>'DOE25'!L255+'DOE25'!L336</f>
        <v>618697.36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2146000</v>
      </c>
      <c r="D25" s="243"/>
      <c r="E25" s="243"/>
      <c r="F25" s="258"/>
      <c r="G25" s="256"/>
      <c r="H25" s="257">
        <f>'DOE25'!L260+'DOE25'!L261+'DOE25'!L341+'DOE25'!L342</f>
        <v>2146000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958278.1</v>
      </c>
      <c r="D29" s="20">
        <f>'DOE25'!L358+'DOE25'!L359+'DOE25'!L360-'DOE25'!I367-F29-G29</f>
        <v>938823.1</v>
      </c>
      <c r="E29" s="243"/>
      <c r="F29" s="255">
        <f>'DOE25'!J358+'DOE25'!J359+'DOE25'!J360</f>
        <v>0</v>
      </c>
      <c r="G29" s="53">
        <f>'DOE25'!K358+'DOE25'!K359+'DOE25'!K360</f>
        <v>19455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1416426.4200000004</v>
      </c>
      <c r="D31" s="20">
        <f>'DOE25'!L290+'DOE25'!L309+'DOE25'!L328+'DOE25'!L333+'DOE25'!L334+'DOE25'!L335-F31-G31</f>
        <v>1376109.7400000005</v>
      </c>
      <c r="E31" s="243"/>
      <c r="F31" s="255">
        <f>'DOE25'!J290+'DOE25'!J309+'DOE25'!J328+'DOE25'!J333+'DOE25'!J334+'DOE25'!J335</f>
        <v>40316.68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57104468.599999994</v>
      </c>
      <c r="E33" s="246">
        <f>SUM(E5:E31)</f>
        <v>2096560.83</v>
      </c>
      <c r="F33" s="246">
        <f>SUM(F5:F31)</f>
        <v>1450544.7699999998</v>
      </c>
      <c r="G33" s="246">
        <f>SUM(G5:G31)</f>
        <v>155712.35999999999</v>
      </c>
      <c r="H33" s="246">
        <f>SUM(H5:H31)</f>
        <v>2146000</v>
      </c>
    </row>
    <row r="35" spans="2:8" ht="12" thickBot="1" x14ac:dyDescent="0.25">
      <c r="B35" s="253" t="s">
        <v>847</v>
      </c>
      <c r="D35" s="254">
        <f>E33</f>
        <v>2096560.83</v>
      </c>
      <c r="E35" s="249"/>
    </row>
    <row r="36" spans="2:8" ht="12" thickTop="1" x14ac:dyDescent="0.2">
      <c r="B36" t="s">
        <v>815</v>
      </c>
      <c r="D36" s="20">
        <f>D33</f>
        <v>57104468.599999994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1939713.54</v>
      </c>
      <c r="D8" s="95">
        <f>'DOE25'!G9</f>
        <v>276787.57</v>
      </c>
      <c r="E8" s="95">
        <f>'DOE25'!H9</f>
        <v>53044.81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905022.53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565353.92000000004</v>
      </c>
      <c r="D11" s="95">
        <f>'DOE25'!G12</f>
        <v>0</v>
      </c>
      <c r="E11" s="95">
        <f>'DOE25'!H12</f>
        <v>62068.03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436049.84</v>
      </c>
      <c r="D12" s="95">
        <f>'DOE25'!G13</f>
        <v>25890.45</v>
      </c>
      <c r="E12" s="95">
        <f>'DOE25'!H13</f>
        <v>368164.88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41461.410000000003</v>
      </c>
      <c r="D13" s="95">
        <f>'DOE25'!G14</f>
        <v>740.32</v>
      </c>
      <c r="E13" s="95">
        <f>'DOE25'!H14</f>
        <v>3818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31283.119999999999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4803.3999999999996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2987382.11</v>
      </c>
      <c r="D18" s="41">
        <f>SUM(D8:D17)</f>
        <v>334701.46000000002</v>
      </c>
      <c r="E18" s="41">
        <f>SUM(E8:E17)</f>
        <v>487095.72</v>
      </c>
      <c r="F18" s="41">
        <f>SUM(F8:F17)</f>
        <v>0</v>
      </c>
      <c r="G18" s="41">
        <f>SUM(G8:G17)</f>
        <v>905022.53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35000</v>
      </c>
      <c r="D21" s="95">
        <f>'DOE25'!G22</f>
        <v>231537.47</v>
      </c>
      <c r="E21" s="95">
        <f>'DOE25'!H22</f>
        <v>360884.47999999998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31566.29</v>
      </c>
      <c r="D22" s="95">
        <f>'DOE25'!G23</f>
        <v>0</v>
      </c>
      <c r="E22" s="95">
        <f>'DOE25'!H23</f>
        <v>5528.14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100245.47</v>
      </c>
      <c r="D23" s="95">
        <f>'DOE25'!G24</f>
        <v>71120.55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160625.67000000001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13915</v>
      </c>
      <c r="D29" s="95">
        <f>'DOE25'!G30</f>
        <v>32043.439999999999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341352.43000000005</v>
      </c>
      <c r="D31" s="41">
        <f>SUM(D21:D30)</f>
        <v>334701.46000000002</v>
      </c>
      <c r="E31" s="41">
        <f>SUM(E21:E30)</f>
        <v>366412.62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4803.3999999999996</v>
      </c>
      <c r="D34" s="95">
        <f>'DOE25'!G35</f>
        <v>31283.119999999999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350679.8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-31283.119999999999</v>
      </c>
      <c r="E47" s="95">
        <f>'DOE25'!H48</f>
        <v>120683.1</v>
      </c>
      <c r="F47" s="95">
        <f>'DOE25'!I48</f>
        <v>0</v>
      </c>
      <c r="G47" s="95">
        <f>'DOE25'!J48</f>
        <v>905022.53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390546.48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1900000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2646029.6799999997</v>
      </c>
      <c r="D50" s="41">
        <f>SUM(D34:D49)</f>
        <v>0</v>
      </c>
      <c r="E50" s="41">
        <f>SUM(E34:E49)</f>
        <v>120683.1</v>
      </c>
      <c r="F50" s="41">
        <f>SUM(F34:F49)</f>
        <v>0</v>
      </c>
      <c r="G50" s="41">
        <f>SUM(G34:G49)</f>
        <v>905022.53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2987382.11</v>
      </c>
      <c r="D51" s="41">
        <f>D50+D31</f>
        <v>334701.46000000002</v>
      </c>
      <c r="E51" s="41">
        <f>E50+E31</f>
        <v>487095.72</v>
      </c>
      <c r="F51" s="41">
        <f>F50+F31</f>
        <v>0</v>
      </c>
      <c r="G51" s="41">
        <f>G50+G31</f>
        <v>905022.53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39583973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313201.01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4678.5600000000004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217.39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979846.23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1039797.98</v>
      </c>
      <c r="D61" s="95">
        <f>SUM('DOE25'!G98:G110)</f>
        <v>0</v>
      </c>
      <c r="E61" s="95">
        <f>SUM('DOE25'!H98:H110)</f>
        <v>93296.18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1357677.55</v>
      </c>
      <c r="D62" s="130">
        <f>SUM(D57:D61)</f>
        <v>979846.23</v>
      </c>
      <c r="E62" s="130">
        <f>SUM(E57:E61)</f>
        <v>93296.18</v>
      </c>
      <c r="F62" s="130">
        <f>SUM(F57:F61)</f>
        <v>0</v>
      </c>
      <c r="G62" s="130">
        <f>SUM(G57:G61)</f>
        <v>217.39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40941650.549999997</v>
      </c>
      <c r="D63" s="22">
        <f>D56+D62</f>
        <v>979846.23</v>
      </c>
      <c r="E63" s="22">
        <f>E56+E62</f>
        <v>93296.18</v>
      </c>
      <c r="F63" s="22">
        <f>F56+F62</f>
        <v>0</v>
      </c>
      <c r="G63" s="22">
        <f>G56+G62</f>
        <v>217.39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11337533.59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6194157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11562.88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17543253.469999999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1103810.6599999999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658263.09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20430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20195.27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1782503.75</v>
      </c>
      <c r="D78" s="130">
        <f>SUM(D72:D77)</f>
        <v>20195.27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19325757.219999999</v>
      </c>
      <c r="D81" s="130">
        <f>SUM(D79:D80)+D78+D70</f>
        <v>20195.27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727628.65</v>
      </c>
      <c r="D88" s="95">
        <f>SUM('DOE25'!G153:G161)</f>
        <v>431772.96</v>
      </c>
      <c r="E88" s="95">
        <f>SUM('DOE25'!H153:H161)</f>
        <v>1338328.42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727628.65</v>
      </c>
      <c r="D91" s="131">
        <f>SUM(D85:D90)</f>
        <v>431772.96</v>
      </c>
      <c r="E91" s="131">
        <f>SUM(E85:E90)</f>
        <v>1338328.42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71603.350000000006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71603.350000000006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60995036.419999994</v>
      </c>
      <c r="D104" s="86">
        <f>D63+D81+D91+D103</f>
        <v>1503417.81</v>
      </c>
      <c r="E104" s="86">
        <f>E63+E81+E91+E103</f>
        <v>1431624.5999999999</v>
      </c>
      <c r="F104" s="86">
        <f>F63+F81+F91+F103</f>
        <v>0</v>
      </c>
      <c r="G104" s="86">
        <f>G63+G81+G103</f>
        <v>200217.39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26084040.599999998</v>
      </c>
      <c r="D109" s="24" t="s">
        <v>289</v>
      </c>
      <c r="E109" s="95">
        <f>('DOE25'!L276)+('DOE25'!L295)+('DOE25'!L314)</f>
        <v>439954.52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10913341.370000001</v>
      </c>
      <c r="D110" s="24" t="s">
        <v>289</v>
      </c>
      <c r="E110" s="95">
        <f>('DOE25'!L277)+('DOE25'!L296)+('DOE25'!L315)</f>
        <v>797263.92000000016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72258.080000000002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1188389.44</v>
      </c>
      <c r="D112" s="24" t="s">
        <v>289</v>
      </c>
      <c r="E112" s="95">
        <f>+('DOE25'!L279)+('DOE25'!L298)+('DOE25'!L317)</f>
        <v>29922.17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210342.51</v>
      </c>
      <c r="D114" s="24" t="s">
        <v>289</v>
      </c>
      <c r="E114" s="95">
        <f>+ SUM('DOE25'!L333:L335)</f>
        <v>46274.81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38468371.999999993</v>
      </c>
      <c r="D115" s="86">
        <f>SUM(D109:D114)</f>
        <v>0</v>
      </c>
      <c r="E115" s="86">
        <f>SUM(E109:E114)</f>
        <v>1313415.4200000002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4646217.08</v>
      </c>
      <c r="D118" s="24" t="s">
        <v>289</v>
      </c>
      <c r="E118" s="95">
        <f>+('DOE25'!L281)+('DOE25'!L300)+('DOE25'!L319)</f>
        <v>2036.9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1434187.8199999998</v>
      </c>
      <c r="D119" s="24" t="s">
        <v>289</v>
      </c>
      <c r="E119" s="95">
        <f>+('DOE25'!L282)+('DOE25'!L301)+('DOE25'!L320)</f>
        <v>88159.53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1990411.48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3704536.98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65342.009999999995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4407200.0500000007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2713475.4400000004</v>
      </c>
      <c r="D124" s="24" t="s">
        <v>289</v>
      </c>
      <c r="E124" s="95">
        <f>+('DOE25'!L287)+('DOE25'!L306)+('DOE25'!L325)</f>
        <v>12814.57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360721.32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1518191.73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19322092.180000003</v>
      </c>
      <c r="D128" s="86">
        <f>SUM(D118:D127)</f>
        <v>1518191.73</v>
      </c>
      <c r="E128" s="86">
        <f>SUM(E118:E127)</f>
        <v>103011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618697.36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546000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71603.350000000006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200217.39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-217.39000000001397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3036300.71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60826764.889999993</v>
      </c>
      <c r="D145" s="86">
        <f>(D115+D128+D144)</f>
        <v>1518191.73</v>
      </c>
      <c r="E145" s="86">
        <f>(E115+E128+E144)</f>
        <v>1416426.4200000002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4.25 to 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11200000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11200000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1600000</v>
      </c>
    </row>
    <row r="159" spans="1:9" x14ac:dyDescent="0.2">
      <c r="A159" s="22" t="s">
        <v>35</v>
      </c>
      <c r="B159" s="137">
        <f>'DOE25'!F498</f>
        <v>9600000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9600000</v>
      </c>
    </row>
    <row r="160" spans="1:9" x14ac:dyDescent="0.2">
      <c r="A160" s="22" t="s">
        <v>36</v>
      </c>
      <c r="B160" s="137">
        <f>'DOE25'!F499</f>
        <v>1512000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1512000</v>
      </c>
    </row>
    <row r="161" spans="1:7" x14ac:dyDescent="0.2">
      <c r="A161" s="22" t="s">
        <v>37</v>
      </c>
      <c r="B161" s="137">
        <f>'DOE25'!F500</f>
        <v>11112000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11112000</v>
      </c>
    </row>
    <row r="162" spans="1:7" x14ac:dyDescent="0.2">
      <c r="A162" s="22" t="s">
        <v>38</v>
      </c>
      <c r="B162" s="137">
        <f>'DOE25'!F501</f>
        <v>1600000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1600000</v>
      </c>
    </row>
    <row r="163" spans="1:7" x14ac:dyDescent="0.2">
      <c r="A163" s="22" t="s">
        <v>39</v>
      </c>
      <c r="B163" s="137">
        <f>'DOE25'!F502</f>
        <v>462000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462000</v>
      </c>
    </row>
    <row r="164" spans="1:7" x14ac:dyDescent="0.2">
      <c r="A164" s="22" t="s">
        <v>246</v>
      </c>
      <c r="B164" s="137">
        <f>'DOE25'!F503</f>
        <v>2062000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2062000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Timberlane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14830</v>
      </c>
    </row>
    <row r="5" spans="1:4" x14ac:dyDescent="0.2">
      <c r="B5" t="s">
        <v>704</v>
      </c>
      <c r="C5" s="179">
        <f>IF('DOE25'!G665+'DOE25'!G670=0,0,ROUND('DOE25'!G672,0))</f>
        <v>14524</v>
      </c>
    </row>
    <row r="6" spans="1:4" x14ac:dyDescent="0.2">
      <c r="B6" t="s">
        <v>62</v>
      </c>
      <c r="C6" s="179">
        <f>IF('DOE25'!H665+'DOE25'!H670=0,0,ROUND('DOE25'!H672,0))</f>
        <v>14103</v>
      </c>
    </row>
    <row r="7" spans="1:4" x14ac:dyDescent="0.2">
      <c r="B7" t="s">
        <v>705</v>
      </c>
      <c r="C7" s="179">
        <f>IF('DOE25'!I665+'DOE25'!I670=0,0,ROUND('DOE25'!I672,0))</f>
        <v>14498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26523995</v>
      </c>
      <c r="D10" s="182">
        <f>ROUND((C10/$C$28)*100,1)</f>
        <v>44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11710605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72258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1218312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4648254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1522347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2351133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3704537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65342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4407200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2726290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256617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546000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538345.77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60291235.770000003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618697</v>
      </c>
    </row>
    <row r="30" spans="1:4" x14ac:dyDescent="0.2">
      <c r="B30" s="187" t="s">
        <v>729</v>
      </c>
      <c r="C30" s="180">
        <f>SUM(C28:C29)</f>
        <v>60909932.770000003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1600000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39583973</v>
      </c>
      <c r="D35" s="182">
        <f t="shared" ref="D35:D40" si="1">ROUND((C35/$C$41)*100,1)</f>
        <v>63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1451191.1199999973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17531691</v>
      </c>
      <c r="D37" s="182">
        <f t="shared" si="1"/>
        <v>27.9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1814262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2497730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62878847.119999997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Timberlane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2014-08-29T19:04:12Z</cp:lastPrinted>
  <dcterms:created xsi:type="dcterms:W3CDTF">1997-12-04T19:04:30Z</dcterms:created>
  <dcterms:modified xsi:type="dcterms:W3CDTF">2014-12-10T16:05:34Z</dcterms:modified>
</cp:coreProperties>
</file>