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F468" i="1" l="1"/>
  <c r="F459" i="1"/>
  <c r="G13" i="1" l="1"/>
  <c r="H13" i="1"/>
  <c r="H233" i="1"/>
  <c r="H197" i="1"/>
  <c r="H198" i="1"/>
  <c r="H204" i="1"/>
  <c r="H222" i="1"/>
  <c r="I358" i="1"/>
  <c r="F197" i="1" l="1"/>
  <c r="H579" i="1" l="1"/>
  <c r="H575" i="1"/>
  <c r="B37" i="12" l="1"/>
  <c r="B19" i="12"/>
  <c r="G207" i="1" l="1"/>
  <c r="G205" i="1"/>
  <c r="G202" i="1"/>
  <c r="G198" i="1"/>
  <c r="G197" i="1"/>
  <c r="H155" i="1" l="1"/>
  <c r="D11" i="13" l="1"/>
  <c r="H358" i="1"/>
  <c r="H282" i="1"/>
  <c r="H281" i="1"/>
  <c r="H240" i="1" l="1"/>
  <c r="H207" i="1"/>
  <c r="H203" i="1"/>
  <c r="H2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C11" i="10"/>
  <c r="L250" i="1"/>
  <c r="L332" i="1"/>
  <c r="L254" i="1"/>
  <c r="L268" i="1"/>
  <c r="C142" i="2" s="1"/>
  <c r="L269" i="1"/>
  <c r="L349" i="1"/>
  <c r="E142" i="2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C113" i="2"/>
  <c r="E113" i="2"/>
  <c r="D115" i="2"/>
  <c r="F115" i="2"/>
  <c r="G115" i="2"/>
  <c r="E119" i="2"/>
  <c r="C122" i="2"/>
  <c r="C123" i="2"/>
  <c r="E123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H641" i="1"/>
  <c r="G643" i="1"/>
  <c r="H643" i="1"/>
  <c r="G644" i="1"/>
  <c r="H644" i="1"/>
  <c r="J644" i="1" s="1"/>
  <c r="G650" i="1"/>
  <c r="G651" i="1"/>
  <c r="G652" i="1"/>
  <c r="H652" i="1"/>
  <c r="G653" i="1"/>
  <c r="H653" i="1"/>
  <c r="G654" i="1"/>
  <c r="H654" i="1"/>
  <c r="H655" i="1"/>
  <c r="K257" i="1"/>
  <c r="A31" i="12"/>
  <c r="G157" i="2"/>
  <c r="E78" i="2"/>
  <c r="L427" i="1"/>
  <c r="H112" i="1"/>
  <c r="J641" i="1"/>
  <c r="K605" i="1"/>
  <c r="G648" i="1" s="1"/>
  <c r="K571" i="1"/>
  <c r="I169" i="1"/>
  <c r="J643" i="1"/>
  <c r="H476" i="1"/>
  <c r="H624" i="1" s="1"/>
  <c r="G338" i="1"/>
  <c r="G352" i="1" s="1"/>
  <c r="J140" i="1"/>
  <c r="J552" i="1"/>
  <c r="H140" i="1"/>
  <c r="G192" i="1"/>
  <c r="L570" i="1"/>
  <c r="G36" i="2"/>
  <c r="F22" i="13" l="1"/>
  <c r="C22" i="13" s="1"/>
  <c r="J639" i="1"/>
  <c r="I52" i="1"/>
  <c r="H620" i="1" s="1"/>
  <c r="L565" i="1"/>
  <c r="H571" i="1"/>
  <c r="F130" i="2"/>
  <c r="F144" i="2" s="1"/>
  <c r="F145" i="2" s="1"/>
  <c r="F78" i="2"/>
  <c r="F81" i="2" s="1"/>
  <c r="C78" i="2"/>
  <c r="D62" i="2"/>
  <c r="D63" i="2" s="1"/>
  <c r="C91" i="2"/>
  <c r="L393" i="1"/>
  <c r="C138" i="2" s="1"/>
  <c r="L328" i="1"/>
  <c r="E125" i="2"/>
  <c r="D14" i="13"/>
  <c r="C14" i="13" s="1"/>
  <c r="C16" i="10"/>
  <c r="C125" i="2"/>
  <c r="L433" i="1"/>
  <c r="H338" i="1"/>
  <c r="H352" i="1" s="1"/>
  <c r="L256" i="1"/>
  <c r="D91" i="2"/>
  <c r="G545" i="1"/>
  <c r="I545" i="1"/>
  <c r="H545" i="1"/>
  <c r="E103" i="2"/>
  <c r="H552" i="1"/>
  <c r="K549" i="1"/>
  <c r="K271" i="1"/>
  <c r="J655" i="1"/>
  <c r="G645" i="1"/>
  <c r="J645" i="1" s="1"/>
  <c r="H52" i="1"/>
  <c r="H619" i="1" s="1"/>
  <c r="J619" i="1" s="1"/>
  <c r="G624" i="1"/>
  <c r="J624" i="1" s="1"/>
  <c r="D18" i="2"/>
  <c r="I476" i="1"/>
  <c r="H625" i="1" s="1"/>
  <c r="L419" i="1"/>
  <c r="K598" i="1"/>
  <c r="G647" i="1" s="1"/>
  <c r="C18" i="10"/>
  <c r="C29" i="10"/>
  <c r="J651" i="1"/>
  <c r="L534" i="1"/>
  <c r="J476" i="1"/>
  <c r="H626" i="1" s="1"/>
  <c r="F476" i="1"/>
  <c r="H622" i="1" s="1"/>
  <c r="J622" i="1" s="1"/>
  <c r="G476" i="1"/>
  <c r="H623" i="1" s="1"/>
  <c r="J623" i="1" s="1"/>
  <c r="C119" i="2"/>
  <c r="C18" i="2"/>
  <c r="C131" i="2"/>
  <c r="H169" i="1"/>
  <c r="F169" i="1"/>
  <c r="E62" i="2"/>
  <c r="E63" i="2" s="1"/>
  <c r="L309" i="1"/>
  <c r="E122" i="2"/>
  <c r="E118" i="2"/>
  <c r="E109" i="2"/>
  <c r="D18" i="13"/>
  <c r="C18" i="13" s="1"/>
  <c r="D17" i="13"/>
  <c r="C17" i="13" s="1"/>
  <c r="C19" i="10"/>
  <c r="G552" i="1"/>
  <c r="J649" i="1"/>
  <c r="L560" i="1"/>
  <c r="K500" i="1"/>
  <c r="I460" i="1"/>
  <c r="I452" i="1"/>
  <c r="J617" i="1"/>
  <c r="E31" i="2"/>
  <c r="L401" i="1"/>
  <c r="C139" i="2" s="1"/>
  <c r="L351" i="1"/>
  <c r="E124" i="2"/>
  <c r="E120" i="2"/>
  <c r="E111" i="2"/>
  <c r="F661" i="1"/>
  <c r="D19" i="13"/>
  <c r="C19" i="13" s="1"/>
  <c r="D12" i="13"/>
  <c r="C12" i="13" s="1"/>
  <c r="E16" i="13"/>
  <c r="F18" i="2"/>
  <c r="C13" i="10"/>
  <c r="K550" i="1"/>
  <c r="J571" i="1"/>
  <c r="F571" i="1"/>
  <c r="K545" i="1"/>
  <c r="J545" i="1"/>
  <c r="J640" i="1"/>
  <c r="J338" i="1"/>
  <c r="J352" i="1" s="1"/>
  <c r="F338" i="1"/>
  <c r="F352" i="1" s="1"/>
  <c r="J257" i="1"/>
  <c r="J271" i="1" s="1"/>
  <c r="G164" i="2"/>
  <c r="G156" i="2"/>
  <c r="E112" i="2"/>
  <c r="E115" i="2" s="1"/>
  <c r="D81" i="2"/>
  <c r="D50" i="2"/>
  <c r="D31" i="2"/>
  <c r="K551" i="1"/>
  <c r="F552" i="1"/>
  <c r="C20" i="10"/>
  <c r="A40" i="12"/>
  <c r="I446" i="1"/>
  <c r="G642" i="1" s="1"/>
  <c r="C70" i="2"/>
  <c r="F112" i="1"/>
  <c r="C35" i="10"/>
  <c r="C56" i="2"/>
  <c r="A13" i="12"/>
  <c r="I571" i="1"/>
  <c r="L362" i="1"/>
  <c r="C27" i="10" s="1"/>
  <c r="H661" i="1"/>
  <c r="D29" i="13"/>
  <c r="C29" i="13" s="1"/>
  <c r="G661" i="1"/>
  <c r="D127" i="2"/>
  <c r="D128" i="2" s="1"/>
  <c r="D145" i="2" s="1"/>
  <c r="E121" i="2"/>
  <c r="E128" i="2" s="1"/>
  <c r="C15" i="10"/>
  <c r="L270" i="1"/>
  <c r="I257" i="1"/>
  <c r="I271" i="1" s="1"/>
  <c r="L247" i="1"/>
  <c r="H660" i="1" s="1"/>
  <c r="C12" i="10"/>
  <c r="C111" i="2"/>
  <c r="C21" i="10"/>
  <c r="G662" i="1"/>
  <c r="L229" i="1"/>
  <c r="G660" i="1" s="1"/>
  <c r="C17" i="10"/>
  <c r="G257" i="1"/>
  <c r="G271" i="1" s="1"/>
  <c r="F257" i="1"/>
  <c r="F271" i="1" s="1"/>
  <c r="C110" i="2"/>
  <c r="H257" i="1"/>
  <c r="H271" i="1" s="1"/>
  <c r="C10" i="10"/>
  <c r="F662" i="1"/>
  <c r="D15" i="13"/>
  <c r="C15" i="13" s="1"/>
  <c r="C124" i="2"/>
  <c r="C121" i="2"/>
  <c r="C120" i="2"/>
  <c r="D7" i="13"/>
  <c r="C7" i="13" s="1"/>
  <c r="C118" i="2"/>
  <c r="D6" i="13"/>
  <c r="C6" i="13" s="1"/>
  <c r="D5" i="13"/>
  <c r="C5" i="13" s="1"/>
  <c r="C109" i="2"/>
  <c r="L211" i="1"/>
  <c r="C16" i="13"/>
  <c r="C81" i="2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C62" i="2"/>
  <c r="H25" i="13"/>
  <c r="E81" i="2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H648" i="1"/>
  <c r="J648" i="1" s="1"/>
  <c r="J652" i="1"/>
  <c r="G571" i="1"/>
  <c r="I434" i="1"/>
  <c r="G434" i="1"/>
  <c r="E104" i="2"/>
  <c r="I663" i="1"/>
  <c r="G635" i="1"/>
  <c r="J635" i="1" s="1"/>
  <c r="I662" i="1" l="1"/>
  <c r="I193" i="1"/>
  <c r="G630" i="1" s="1"/>
  <c r="J630" i="1" s="1"/>
  <c r="D51" i="2"/>
  <c r="I461" i="1"/>
  <c r="H642" i="1" s="1"/>
  <c r="J642" i="1" s="1"/>
  <c r="L545" i="1"/>
  <c r="K552" i="1"/>
  <c r="E51" i="2"/>
  <c r="J625" i="1"/>
  <c r="C39" i="10"/>
  <c r="L338" i="1"/>
  <c r="L352" i="1" s="1"/>
  <c r="G633" i="1" s="1"/>
  <c r="J633" i="1" s="1"/>
  <c r="G664" i="1"/>
  <c r="G667" i="1" s="1"/>
  <c r="F51" i="2"/>
  <c r="C115" i="2"/>
  <c r="C63" i="2"/>
  <c r="C104" i="2" s="1"/>
  <c r="I661" i="1"/>
  <c r="H664" i="1"/>
  <c r="H667" i="1" s="1"/>
  <c r="E145" i="2"/>
  <c r="C28" i="10"/>
  <c r="D23" i="10" s="1"/>
  <c r="L257" i="1"/>
  <c r="L271" i="1" s="1"/>
  <c r="G632" i="1" s="1"/>
  <c r="J632" i="1" s="1"/>
  <c r="C128" i="2"/>
  <c r="F660" i="1"/>
  <c r="F664" i="1" s="1"/>
  <c r="F672" i="1" s="1"/>
  <c r="C4" i="10" s="1"/>
  <c r="D31" i="13"/>
  <c r="C31" i="13" s="1"/>
  <c r="C25" i="13"/>
  <c r="H33" i="13"/>
  <c r="E33" i="13"/>
  <c r="D35" i="13" s="1"/>
  <c r="G104" i="2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H672" i="1"/>
  <c r="C6" i="10" s="1"/>
  <c r="D21" i="10"/>
  <c r="D11" i="10"/>
  <c r="D25" i="10"/>
  <c r="D20" i="10"/>
  <c r="D13" i="10"/>
  <c r="D22" i="10"/>
  <c r="D15" i="10"/>
  <c r="D19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F667" i="1"/>
  <c r="G637" i="1"/>
  <c r="J637" i="1" s="1"/>
  <c r="H646" i="1"/>
  <c r="J646" i="1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<sst xmlns="http://schemas.openxmlformats.org/spreadsheetml/2006/main" count="3954" uniqueCount="912">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</sst>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06" activePane="bottomRight" state="frozen"/>
      <selection pane="topRight" activeCell="F1" sqref="F1"/>
      <selection pane="bottomLeft" activeCell="A4" sqref="A4"/>
      <selection pane="bottomRight" activeCell="F255" sqref="F2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549</v>
      </c>
      <c r="C2" s="21">
        <v>549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116247.18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68000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51019.11</v>
      </c>
      <c r="G13" s="18">
        <f>3272.35-193</f>
        <v>3079.35</v>
      </c>
      <c r="H13" s="18">
        <f>26362.11+620.12</f>
        <v>26982.23</v>
      </c>
      <c r="I13" s="18"/>
      <c r="J13" s="67">
        <f>SUM(I442)</f>
        <v>19113.38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6759.88</v>
      </c>
      <c r="G14" s="18"/>
      <c r="H14" s="18"/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2424.5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176450.66999999998</v>
      </c>
      <c r="G19" s="41">
        <f>SUM(G9:G18)</f>
        <v>3079.35</v>
      </c>
      <c r="H19" s="41">
        <f>SUM(H9:H18)</f>
        <v>26982.23</v>
      </c>
      <c r="I19" s="41">
        <f>SUM(I9:I18)</f>
        <v>0</v>
      </c>
      <c r="J19" s="41">
        <f>SUM(J9:J18)</f>
        <v>87113.38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32371.71</v>
      </c>
      <c r="G22" s="18">
        <v>2248.41</v>
      </c>
      <c r="H22" s="18"/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101961.23</v>
      </c>
      <c r="G24" s="18">
        <v>1023.94</v>
      </c>
      <c r="H24" s="18">
        <v>5667.06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107427.12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1328.4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21315.17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269.31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243088.46</v>
      </c>
      <c r="G32" s="41">
        <f>SUM(G22:G31)</f>
        <v>3541.66</v>
      </c>
      <c r="H32" s="41">
        <f>SUM(H22:H31)</f>
        <v>26982.23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2424.5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-462.31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0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/>
      <c r="I48" s="18">
        <v>0</v>
      </c>
      <c r="J48" s="13">
        <f>SUM(I459)</f>
        <v>87113.38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-69062.289999999994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-66637.789999999994</v>
      </c>
      <c r="G51" s="41">
        <f>SUM(G35:G50)</f>
        <v>-462.31</v>
      </c>
      <c r="H51" s="41">
        <f>SUM(H35:H50)</f>
        <v>0</v>
      </c>
      <c r="I51" s="41">
        <f>SUM(I35:I50)</f>
        <v>0</v>
      </c>
      <c r="J51" s="41">
        <f>SUM(J35:J50)</f>
        <v>87113.38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176450.66999999998</v>
      </c>
      <c r="G52" s="41">
        <f>G51+G32</f>
        <v>3079.35</v>
      </c>
      <c r="H52" s="41">
        <f>H51+H32</f>
        <v>26982.23</v>
      </c>
      <c r="I52" s="41">
        <f>I51+I32</f>
        <v>0</v>
      </c>
      <c r="J52" s="41">
        <f>J51+J32</f>
        <v>87113.38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1253727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1253727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2637.27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2637.27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172.27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8003.93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19311.48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1578.14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2816.68</v>
      </c>
      <c r="G110" s="18">
        <v>1514.14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4567.09</v>
      </c>
      <c r="G111" s="41">
        <f>SUM(G96:G110)</f>
        <v>9518.07</v>
      </c>
      <c r="H111" s="41">
        <f>SUM(H96:H110)</f>
        <v>19311.48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1260931.3600000001</v>
      </c>
      <c r="G112" s="41">
        <f>G60+G111</f>
        <v>9518.07</v>
      </c>
      <c r="H112" s="41">
        <f>H60+H79+H94+H111</f>
        <v>19311.48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712837.42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160605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873442.42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59079.98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6048.6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409.14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65128.58</v>
      </c>
      <c r="G136" s="41">
        <f>SUM(G123:G135)</f>
        <v>409.14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938571</v>
      </c>
      <c r="G140" s="41">
        <f>G121+SUM(G136:G137)</f>
        <v>409.14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1919.2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56008.18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6862.73+1155.46+111714.09</f>
        <v>119732.28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23053.48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30112.16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30112.16</v>
      </c>
      <c r="G162" s="41">
        <f>SUM(G150:G161)</f>
        <v>23053.48</v>
      </c>
      <c r="H162" s="41">
        <f>SUM(H150:H161)</f>
        <v>177659.66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10533.09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40645.25</v>
      </c>
      <c r="G169" s="41">
        <f>G147+G162+SUM(G163:G168)</f>
        <v>23053.48</v>
      </c>
      <c r="H169" s="41">
        <f>H147+H162+SUM(H163:H168)</f>
        <v>177659.66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17403.259999999998</v>
      </c>
      <c r="H179" s="18"/>
      <c r="I179" s="18">
        <v>0</v>
      </c>
      <c r="J179" s="18">
        <v>34000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17403.259999999998</v>
      </c>
      <c r="H183" s="41">
        <f>SUM(H179:H182)</f>
        <v>0</v>
      </c>
      <c r="I183" s="41">
        <f>SUM(I179:I182)</f>
        <v>0</v>
      </c>
      <c r="J183" s="41">
        <f>SUM(J179:J182)</f>
        <v>34000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68000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43087.19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111087.19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111087.19</v>
      </c>
      <c r="G192" s="41">
        <f>G183+SUM(G188:G191)</f>
        <v>17403.259999999998</v>
      </c>
      <c r="H192" s="41">
        <f>+H183+SUM(H188:H191)</f>
        <v>0</v>
      </c>
      <c r="I192" s="41">
        <f>I177+I183+SUM(I188:I191)</f>
        <v>0</v>
      </c>
      <c r="J192" s="41">
        <f>J183</f>
        <v>34000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2351234.8000000003</v>
      </c>
      <c r="G193" s="47">
        <f>G112+G140+G169+G192</f>
        <v>50383.95</v>
      </c>
      <c r="H193" s="47">
        <f>H112+H140+H169+H192</f>
        <v>196971.14</v>
      </c>
      <c r="I193" s="47">
        <f>I112+I140+I169+I192</f>
        <v>0</v>
      </c>
      <c r="J193" s="47">
        <f>J112+J140+J192</f>
        <v>34000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338229.88-22289.53</f>
        <v>315940.34999999998</v>
      </c>
      <c r="G197" s="18">
        <f>166302.5+2923.5</f>
        <v>169226</v>
      </c>
      <c r="H197" s="18">
        <f>42167.53+136.87</f>
        <v>42304.4</v>
      </c>
      <c r="I197" s="18">
        <v>23902.86</v>
      </c>
      <c r="J197" s="18">
        <v>15010.45</v>
      </c>
      <c r="K197" s="18">
        <v>738.3</v>
      </c>
      <c r="L197" s="19">
        <f>SUM(F197:K197)</f>
        <v>567122.36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49248.57</v>
      </c>
      <c r="G198" s="18">
        <f>32126.92+428</f>
        <v>32554.92</v>
      </c>
      <c r="H198" s="18">
        <f>825</f>
        <v>825</v>
      </c>
      <c r="I198" s="18">
        <v>1492.38</v>
      </c>
      <c r="J198" s="18">
        <v>268.39</v>
      </c>
      <c r="K198" s="18">
        <v>0</v>
      </c>
      <c r="L198" s="19">
        <f>SUM(F198:K198)</f>
        <v>84389.26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5480</v>
      </c>
      <c r="G200" s="18">
        <v>1186.58</v>
      </c>
      <c r="H200" s="18">
        <v>500</v>
      </c>
      <c r="I200" s="18">
        <v>1010.31</v>
      </c>
      <c r="J200" s="18"/>
      <c r="K200" s="18"/>
      <c r="L200" s="19">
        <f>SUM(F200:K200)</f>
        <v>8176.8899999999994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26368.25</v>
      </c>
      <c r="G202" s="18">
        <f>2085.31+232</f>
        <v>2317.31</v>
      </c>
      <c r="H202" s="18">
        <f>36292.42+382.5+372.5</f>
        <v>37047.42</v>
      </c>
      <c r="I202" s="18">
        <v>7520.51</v>
      </c>
      <c r="J202" s="18"/>
      <c r="K202" s="18">
        <v>3835.25</v>
      </c>
      <c r="L202" s="19">
        <f t="shared" ref="L202:L208" si="0">SUM(F202:K202)</f>
        <v>77088.739999999991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14085.08</v>
      </c>
      <c r="G203" s="18">
        <v>11879.97</v>
      </c>
      <c r="H203" s="18">
        <f>8870.67+170.07</f>
        <v>9040.74</v>
      </c>
      <c r="I203" s="18">
        <v>2115.2600000000002</v>
      </c>
      <c r="J203" s="18"/>
      <c r="K203" s="18"/>
      <c r="L203" s="19">
        <f t="shared" si="0"/>
        <v>37121.050000000003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1323.56</v>
      </c>
      <c r="G204" s="18">
        <v>113.3</v>
      </c>
      <c r="H204" s="18">
        <f>50312.2+2837.19</f>
        <v>53149.39</v>
      </c>
      <c r="I204" s="18">
        <v>27.28</v>
      </c>
      <c r="J204" s="18"/>
      <c r="K204" s="18">
        <v>1451.09</v>
      </c>
      <c r="L204" s="19">
        <f t="shared" si="0"/>
        <v>56064.619999999995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91360.63</v>
      </c>
      <c r="G205" s="18">
        <f>37510.64+799</f>
        <v>38309.64</v>
      </c>
      <c r="H205" s="18">
        <v>3092.68</v>
      </c>
      <c r="I205" s="18">
        <v>785.94</v>
      </c>
      <c r="J205" s="18">
        <v>877.2</v>
      </c>
      <c r="K205" s="18">
        <v>324</v>
      </c>
      <c r="L205" s="19">
        <f t="shared" si="0"/>
        <v>134750.09000000003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25113.98</v>
      </c>
      <c r="G207" s="18">
        <f>11657.11+213</f>
        <v>11870.11</v>
      </c>
      <c r="H207" s="18">
        <f>39204.62+14148.46+1249</f>
        <v>54602.080000000002</v>
      </c>
      <c r="I207" s="18">
        <v>38453.800000000003</v>
      </c>
      <c r="J207" s="18">
        <v>9194.99</v>
      </c>
      <c r="K207" s="18">
        <v>206</v>
      </c>
      <c r="L207" s="19">
        <f t="shared" si="0"/>
        <v>139440.95999999999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75936.75</v>
      </c>
      <c r="I208" s="18"/>
      <c r="J208" s="18"/>
      <c r="K208" s="18"/>
      <c r="L208" s="19">
        <f t="shared" si="0"/>
        <v>75936.75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2968.35</v>
      </c>
      <c r="I209" s="18"/>
      <c r="J209" s="18"/>
      <c r="K209" s="18"/>
      <c r="L209" s="19">
        <f>SUM(F209:K209)</f>
        <v>2968.35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528920.42000000004</v>
      </c>
      <c r="G211" s="41">
        <f t="shared" si="1"/>
        <v>267457.82999999996</v>
      </c>
      <c r="H211" s="41">
        <f t="shared" si="1"/>
        <v>279466.81</v>
      </c>
      <c r="I211" s="41">
        <f t="shared" si="1"/>
        <v>75308.340000000011</v>
      </c>
      <c r="J211" s="41">
        <f t="shared" si="1"/>
        <v>25351.03</v>
      </c>
      <c r="K211" s="41">
        <f t="shared" si="1"/>
        <v>6554.64</v>
      </c>
      <c r="L211" s="41">
        <f t="shared" si="1"/>
        <v>1183059.07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264956.68</v>
      </c>
      <c r="I215" s="18"/>
      <c r="J215" s="18"/>
      <c r="K215" s="18"/>
      <c r="L215" s="19">
        <f>SUM(F215:K215)</f>
        <v>264956.68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13320.43</v>
      </c>
      <c r="I216" s="18"/>
      <c r="J216" s="18"/>
      <c r="K216" s="18"/>
      <c r="L216" s="19">
        <f>SUM(F216:K216)</f>
        <v>13320.43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348.7</v>
      </c>
      <c r="G222" s="18">
        <v>29.61</v>
      </c>
      <c r="H222" s="18">
        <f>12268.5+593.93</f>
        <v>12862.43</v>
      </c>
      <c r="I222" s="18">
        <v>6.6</v>
      </c>
      <c r="J222" s="18"/>
      <c r="K222" s="18">
        <v>351.07</v>
      </c>
      <c r="L222" s="19">
        <f t="shared" si="2"/>
        <v>13598.41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55226.96</v>
      </c>
      <c r="I226" s="18"/>
      <c r="J226" s="18"/>
      <c r="K226" s="18"/>
      <c r="L226" s="19">
        <f t="shared" si="2"/>
        <v>55226.96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348.7</v>
      </c>
      <c r="G229" s="41">
        <f>SUM(G215:G228)</f>
        <v>29.61</v>
      </c>
      <c r="H229" s="41">
        <f>SUM(H215:H228)</f>
        <v>346366.5</v>
      </c>
      <c r="I229" s="41">
        <f>SUM(I215:I228)</f>
        <v>6.6</v>
      </c>
      <c r="J229" s="41">
        <f>SUM(J215:J228)</f>
        <v>0</v>
      </c>
      <c r="K229" s="41">
        <f t="shared" si="3"/>
        <v>351.07</v>
      </c>
      <c r="L229" s="41">
        <f t="shared" si="3"/>
        <v>347102.48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367756.02+21917.03</f>
        <v>389673.05000000005</v>
      </c>
      <c r="I233" s="18"/>
      <c r="J233" s="18"/>
      <c r="K233" s="18"/>
      <c r="L233" s="19">
        <f>SUM(F233:K233)</f>
        <v>389673.05000000005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107621.39</v>
      </c>
      <c r="I234" s="18"/>
      <c r="J234" s="18"/>
      <c r="K234" s="18"/>
      <c r="L234" s="19">
        <f>SUM(F234:K234)</f>
        <v>107621.39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52200</v>
      </c>
      <c r="I235" s="18"/>
      <c r="J235" s="18"/>
      <c r="K235" s="18"/>
      <c r="L235" s="19">
        <f>SUM(F235:K235)</f>
        <v>52200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832.25</v>
      </c>
      <c r="I236" s="18"/>
      <c r="J236" s="18"/>
      <c r="K236" s="18"/>
      <c r="L236" s="19">
        <f>SUM(F236:K236)</f>
        <v>832.25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9574.89</v>
      </c>
      <c r="I238" s="18"/>
      <c r="J238" s="18"/>
      <c r="K238" s="18"/>
      <c r="L238" s="19">
        <f t="shared" ref="L238:L244" si="4">SUM(F238:K238)</f>
        <v>9574.89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590.74</v>
      </c>
      <c r="G240" s="18">
        <v>49.64</v>
      </c>
      <c r="H240" s="18">
        <f>18758.3+910.74</f>
        <v>19669.04</v>
      </c>
      <c r="I240" s="18">
        <v>10.119999999999999</v>
      </c>
      <c r="J240" s="18"/>
      <c r="K240" s="18">
        <v>538.30999999999995</v>
      </c>
      <c r="L240" s="19">
        <f t="shared" si="4"/>
        <v>20857.850000000002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14651.65</v>
      </c>
      <c r="I244" s="18"/>
      <c r="J244" s="18"/>
      <c r="K244" s="18"/>
      <c r="L244" s="19">
        <f t="shared" si="4"/>
        <v>14651.65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590.74</v>
      </c>
      <c r="G247" s="41">
        <f t="shared" si="5"/>
        <v>49.64</v>
      </c>
      <c r="H247" s="41">
        <f t="shared" si="5"/>
        <v>594222.27000000014</v>
      </c>
      <c r="I247" s="41">
        <f t="shared" si="5"/>
        <v>10.119999999999999</v>
      </c>
      <c r="J247" s="41">
        <f t="shared" si="5"/>
        <v>0</v>
      </c>
      <c r="K247" s="41">
        <f t="shared" si="5"/>
        <v>538.30999999999995</v>
      </c>
      <c r="L247" s="41">
        <f t="shared" si="5"/>
        <v>595411.08000000007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274">
        <v>240896.7</v>
      </c>
      <c r="I255" s="18"/>
      <c r="J255" s="18"/>
      <c r="K255" s="18"/>
      <c r="L255" s="19">
        <f t="shared" si="6"/>
        <v>240896.7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240896.7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240896.7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529859.86</v>
      </c>
      <c r="G257" s="41">
        <f t="shared" si="8"/>
        <v>267537.07999999996</v>
      </c>
      <c r="H257" s="41">
        <f t="shared" si="8"/>
        <v>1460952.28</v>
      </c>
      <c r="I257" s="41">
        <f t="shared" si="8"/>
        <v>75325.060000000012</v>
      </c>
      <c r="J257" s="41">
        <f t="shared" si="8"/>
        <v>25351.03</v>
      </c>
      <c r="K257" s="41">
        <f t="shared" si="8"/>
        <v>7444.02</v>
      </c>
      <c r="L257" s="41">
        <f t="shared" si="8"/>
        <v>2366469.33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17403.259999999998</v>
      </c>
      <c r="L263" s="19">
        <f>SUM(F263:K263)</f>
        <v>17403.259999999998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34000</v>
      </c>
      <c r="L266" s="19">
        <f t="shared" si="9"/>
        <v>34000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51403.259999999995</v>
      </c>
      <c r="L270" s="41">
        <f t="shared" si="9"/>
        <v>51403.259999999995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529859.86</v>
      </c>
      <c r="G271" s="42">
        <f t="shared" si="11"/>
        <v>267537.07999999996</v>
      </c>
      <c r="H271" s="42">
        <f t="shared" si="11"/>
        <v>1460952.28</v>
      </c>
      <c r="I271" s="42">
        <f t="shared" si="11"/>
        <v>75325.060000000012</v>
      </c>
      <c r="J271" s="42">
        <f t="shared" si="11"/>
        <v>25351.03</v>
      </c>
      <c r="K271" s="42">
        <f t="shared" si="11"/>
        <v>58847.28</v>
      </c>
      <c r="L271" s="42">
        <f t="shared" si="11"/>
        <v>2417872.59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47898.02</v>
      </c>
      <c r="G277" s="18">
        <v>16438.580000000002</v>
      </c>
      <c r="H277" s="18">
        <v>750</v>
      </c>
      <c r="I277" s="18">
        <v>3672.05</v>
      </c>
      <c r="J277" s="18"/>
      <c r="K277" s="18"/>
      <c r="L277" s="19">
        <f>SUM(F277:K277)</f>
        <v>68758.649999999994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27098.75</v>
      </c>
      <c r="G279" s="18">
        <v>2885.71</v>
      </c>
      <c r="H279" s="18"/>
      <c r="I279" s="18">
        <v>9498.68</v>
      </c>
      <c r="J279" s="18"/>
      <c r="K279" s="18"/>
      <c r="L279" s="19">
        <f>SUM(F279:K279)</f>
        <v>39483.14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1043.75</v>
      </c>
      <c r="G281" s="18">
        <v>202.37</v>
      </c>
      <c r="H281" s="18">
        <f>8998.74+544</f>
        <v>9542.74</v>
      </c>
      <c r="I281" s="18"/>
      <c r="J281" s="18"/>
      <c r="K281" s="18"/>
      <c r="L281" s="19">
        <f t="shared" ref="L281:L287" si="12">SUM(F281:K281)</f>
        <v>10788.86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6621.29</v>
      </c>
      <c r="G282" s="18">
        <v>1278.3399999999999</v>
      </c>
      <c r="H282" s="18">
        <f>565+1121.97</f>
        <v>1686.97</v>
      </c>
      <c r="I282" s="18">
        <v>309.23</v>
      </c>
      <c r="J282" s="18"/>
      <c r="K282" s="18"/>
      <c r="L282" s="19">
        <f t="shared" si="12"/>
        <v>9895.83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1099</v>
      </c>
      <c r="L283" s="19">
        <f t="shared" si="12"/>
        <v>1099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37100.51</v>
      </c>
      <c r="G284" s="18">
        <v>4279.3599999999997</v>
      </c>
      <c r="H284" s="18"/>
      <c r="I284" s="18">
        <v>621.29</v>
      </c>
      <c r="J284" s="18"/>
      <c r="K284" s="18"/>
      <c r="L284" s="19">
        <f t="shared" si="12"/>
        <v>42001.16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24944.5</v>
      </c>
      <c r="I287" s="18"/>
      <c r="J287" s="18"/>
      <c r="K287" s="18"/>
      <c r="L287" s="19">
        <f t="shared" si="12"/>
        <v>24944.5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119762.31999999998</v>
      </c>
      <c r="G290" s="42">
        <f t="shared" si="13"/>
        <v>25084.36</v>
      </c>
      <c r="H290" s="42">
        <f t="shared" si="13"/>
        <v>36924.21</v>
      </c>
      <c r="I290" s="42">
        <f t="shared" si="13"/>
        <v>14101.25</v>
      </c>
      <c r="J290" s="42">
        <f t="shared" si="13"/>
        <v>0</v>
      </c>
      <c r="K290" s="42">
        <f t="shared" si="13"/>
        <v>1099</v>
      </c>
      <c r="L290" s="41">
        <f t="shared" si="13"/>
        <v>196971.14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119762.31999999998</v>
      </c>
      <c r="G338" s="41">
        <f t="shared" si="20"/>
        <v>25084.36</v>
      </c>
      <c r="H338" s="41">
        <f t="shared" si="20"/>
        <v>36924.21</v>
      </c>
      <c r="I338" s="41">
        <f t="shared" si="20"/>
        <v>14101.25</v>
      </c>
      <c r="J338" s="41">
        <f t="shared" si="20"/>
        <v>0</v>
      </c>
      <c r="K338" s="41">
        <f t="shared" si="20"/>
        <v>1099</v>
      </c>
      <c r="L338" s="41">
        <f t="shared" si="20"/>
        <v>196971.14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119762.31999999998</v>
      </c>
      <c r="G352" s="41">
        <f>G338</f>
        <v>25084.36</v>
      </c>
      <c r="H352" s="41">
        <f>H338</f>
        <v>36924.21</v>
      </c>
      <c r="I352" s="41">
        <f>I338</f>
        <v>14101.25</v>
      </c>
      <c r="J352" s="41">
        <f>J338</f>
        <v>0</v>
      </c>
      <c r="K352" s="47">
        <f>K338+K351</f>
        <v>1099</v>
      </c>
      <c r="L352" s="41">
        <f>L338+L351</f>
        <v>196971.14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22127.33</v>
      </c>
      <c r="G358" s="18">
        <v>1772.58</v>
      </c>
      <c r="H358" s="18">
        <f>752.53+21.95</f>
        <v>774.48</v>
      </c>
      <c r="I358" s="18">
        <f>22968.07+3094.8</f>
        <v>26062.87</v>
      </c>
      <c r="J358" s="18">
        <v>109</v>
      </c>
      <c r="K358" s="18"/>
      <c r="L358" s="13">
        <f>SUM(F358:K358)</f>
        <v>50846.26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22127.33</v>
      </c>
      <c r="G362" s="47">
        <f t="shared" si="22"/>
        <v>1772.58</v>
      </c>
      <c r="H362" s="47">
        <f t="shared" si="22"/>
        <v>774.48</v>
      </c>
      <c r="I362" s="47">
        <f t="shared" si="22"/>
        <v>26062.87</v>
      </c>
      <c r="J362" s="47">
        <f t="shared" si="22"/>
        <v>109</v>
      </c>
      <c r="K362" s="47">
        <f t="shared" si="22"/>
        <v>0</v>
      </c>
      <c r="L362" s="47">
        <f t="shared" si="22"/>
        <v>50846.26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26062.87</v>
      </c>
      <c r="G367" s="18"/>
      <c r="H367" s="18"/>
      <c r="I367" s="56">
        <f>SUM(F367:H367)</f>
        <v>26062.87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26062.87</v>
      </c>
      <c r="G369" s="47">
        <f>SUM(G367:G368)</f>
        <v>0</v>
      </c>
      <c r="H369" s="47">
        <f>SUM(H367:H368)</f>
        <v>0</v>
      </c>
      <c r="I369" s="47">
        <f>SUM(I367:I368)</f>
        <v>26062.87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68018.559999999998</v>
      </c>
      <c r="I379" s="18"/>
      <c r="J379" s="18"/>
      <c r="K379" s="18"/>
      <c r="L379" s="13">
        <f t="shared" si="23"/>
        <v>68018.559999999998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68018.559999999998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68018.559999999998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9000</v>
      </c>
      <c r="H398" s="18"/>
      <c r="I398" s="18"/>
      <c r="J398" s="24" t="s">
        <v>289</v>
      </c>
      <c r="K398" s="24" t="s">
        <v>289</v>
      </c>
      <c r="L398" s="56">
        <f t="shared" si="26"/>
        <v>9000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34000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34000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34000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34000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0</v>
      </c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68000</v>
      </c>
      <c r="G441" s="18"/>
      <c r="H441" s="18"/>
      <c r="I441" s="56">
        <f t="shared" si="33"/>
        <v>68000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19113.38</v>
      </c>
      <c r="G442" s="18"/>
      <c r="H442" s="18"/>
      <c r="I442" s="56">
        <f t="shared" si="33"/>
        <v>19113.38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87113.38</v>
      </c>
      <c r="G446" s="13">
        <f>SUM(G439:G445)</f>
        <v>0</v>
      </c>
      <c r="H446" s="13">
        <f>SUM(H439:H445)</f>
        <v>0</v>
      </c>
      <c r="I446" s="13">
        <f>SUM(I439:I445)</f>
        <v>87113.38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53113.38+34000</f>
        <v>87113.38</v>
      </c>
      <c r="G459" s="18">
        <v>0</v>
      </c>
      <c r="H459" s="18"/>
      <c r="I459" s="56">
        <f t="shared" si="34"/>
        <v>87113.38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87113.38</v>
      </c>
      <c r="G460" s="83">
        <f>SUM(G454:G459)</f>
        <v>0</v>
      </c>
      <c r="H460" s="83">
        <f>SUM(H454:H459)</f>
        <v>0</v>
      </c>
      <c r="I460" s="83">
        <f>SUM(I454:I459)</f>
        <v>87113.38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87113.38</v>
      </c>
      <c r="G461" s="42">
        <f>G452+G460</f>
        <v>0</v>
      </c>
      <c r="H461" s="42">
        <f>H452+H460</f>
        <v>0</v>
      </c>
      <c r="I461" s="42">
        <f>I452+I460</f>
        <v>87113.38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2308147.61+43087.19</f>
        <v>2351234.7999999998</v>
      </c>
      <c r="G468" s="18">
        <v>50383.95</v>
      </c>
      <c r="H468" s="18">
        <v>196971.14</v>
      </c>
      <c r="I468" s="18">
        <v>0</v>
      </c>
      <c r="J468" s="18">
        <v>34000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>
        <v>68018.559999999998</v>
      </c>
      <c r="J469" s="18">
        <v>53113.38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2351234.7999999998</v>
      </c>
      <c r="G470" s="53">
        <f>SUM(G468:G469)</f>
        <v>50383.95</v>
      </c>
      <c r="H470" s="53">
        <f>SUM(H468:H469)</f>
        <v>196971.14</v>
      </c>
      <c r="I470" s="53">
        <f>SUM(I468:I469)</f>
        <v>68018.559999999998</v>
      </c>
      <c r="J470" s="53">
        <f>SUM(J468:J469)</f>
        <v>87113.38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2417872.59</v>
      </c>
      <c r="G472" s="18">
        <v>50846.26</v>
      </c>
      <c r="H472" s="18">
        <v>196971.14</v>
      </c>
      <c r="I472" s="18">
        <v>68018.559999999998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2417872.59</v>
      </c>
      <c r="G474" s="53">
        <f>SUM(G472:G473)</f>
        <v>50846.26</v>
      </c>
      <c r="H474" s="53">
        <f>SUM(H472:H473)</f>
        <v>196971.14</v>
      </c>
      <c r="I474" s="53">
        <f>SUM(I472:I473)</f>
        <v>68018.559999999998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-66637.790000000037</v>
      </c>
      <c r="G476" s="53">
        <f>(G465+G470)- G474</f>
        <v>-462.31000000000495</v>
      </c>
      <c r="H476" s="53">
        <f>(H465+H470)- H474</f>
        <v>0</v>
      </c>
      <c r="I476" s="53">
        <f>(I465+I470)- I474</f>
        <v>0</v>
      </c>
      <c r="J476" s="53">
        <f>(J465+J470)- J474</f>
        <v>87113.38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274">
        <v>49249</v>
      </c>
      <c r="G521" s="274">
        <v>32555</v>
      </c>
      <c r="H521" s="274">
        <v>825</v>
      </c>
      <c r="I521" s="274">
        <v>1492</v>
      </c>
      <c r="J521" s="274">
        <v>268</v>
      </c>
      <c r="K521" s="274"/>
      <c r="L521" s="88">
        <f>SUM(F521:K521)</f>
        <v>84389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274"/>
      <c r="G522" s="274"/>
      <c r="H522" s="274">
        <v>13320</v>
      </c>
      <c r="I522" s="274"/>
      <c r="J522" s="274"/>
      <c r="K522" s="274"/>
      <c r="L522" s="88">
        <f>SUM(F522:K522)</f>
        <v>13320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274"/>
      <c r="G523" s="274"/>
      <c r="H523" s="274">
        <v>107621</v>
      </c>
      <c r="I523" s="274"/>
      <c r="J523" s="274"/>
      <c r="K523" s="274"/>
      <c r="L523" s="88">
        <f>SUM(F523:K523)</f>
        <v>107621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49249</v>
      </c>
      <c r="G524" s="108">
        <f t="shared" ref="G524:L524" si="36">SUM(G521:G523)</f>
        <v>32555</v>
      </c>
      <c r="H524" s="108">
        <f t="shared" si="36"/>
        <v>121766</v>
      </c>
      <c r="I524" s="108">
        <f t="shared" si="36"/>
        <v>1492</v>
      </c>
      <c r="J524" s="108">
        <f t="shared" si="36"/>
        <v>268</v>
      </c>
      <c r="K524" s="108">
        <f t="shared" si="36"/>
        <v>0</v>
      </c>
      <c r="L524" s="89">
        <f t="shared" si="36"/>
        <v>205330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23441</v>
      </c>
      <c r="I526" s="18">
        <v>241</v>
      </c>
      <c r="J526" s="18"/>
      <c r="K526" s="18"/>
      <c r="L526" s="88">
        <f>SUM(F526:K526)</f>
        <v>23682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>
        <v>9575</v>
      </c>
      <c r="J528" s="18"/>
      <c r="K528" s="18"/>
      <c r="L528" s="88">
        <f>SUM(F528:K528)</f>
        <v>9575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23441</v>
      </c>
      <c r="I529" s="89">
        <f t="shared" si="37"/>
        <v>9816</v>
      </c>
      <c r="J529" s="89">
        <f t="shared" si="37"/>
        <v>0</v>
      </c>
      <c r="K529" s="89">
        <f t="shared" si="37"/>
        <v>0</v>
      </c>
      <c r="L529" s="89">
        <f t="shared" si="37"/>
        <v>33257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9180</v>
      </c>
      <c r="I531" s="18"/>
      <c r="J531" s="18"/>
      <c r="K531" s="18"/>
      <c r="L531" s="88">
        <f>SUM(F531:K531)</f>
        <v>9180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3178</v>
      </c>
      <c r="I532" s="18"/>
      <c r="J532" s="18"/>
      <c r="K532" s="18"/>
      <c r="L532" s="88">
        <f>SUM(F532:K532)</f>
        <v>3178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5296</v>
      </c>
      <c r="I533" s="18"/>
      <c r="J533" s="18"/>
      <c r="K533" s="18"/>
      <c r="L533" s="88">
        <f>SUM(F533:K533)</f>
        <v>5296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17654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17654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6416</v>
      </c>
      <c r="I543" s="18"/>
      <c r="J543" s="18"/>
      <c r="K543" s="18"/>
      <c r="L543" s="88">
        <f>SUM(F543:K543)</f>
        <v>6416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6416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6416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49249</v>
      </c>
      <c r="G545" s="89">
        <f t="shared" ref="G545:L545" si="41">G524+G529+G534+G539+G544</f>
        <v>32555</v>
      </c>
      <c r="H545" s="89">
        <f t="shared" si="41"/>
        <v>169277</v>
      </c>
      <c r="I545" s="89">
        <f t="shared" si="41"/>
        <v>11308</v>
      </c>
      <c r="J545" s="89">
        <f t="shared" si="41"/>
        <v>268</v>
      </c>
      <c r="K545" s="89">
        <f t="shared" si="41"/>
        <v>0</v>
      </c>
      <c r="L545" s="89">
        <f t="shared" si="41"/>
        <v>262657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84389</v>
      </c>
      <c r="G549" s="87">
        <f>L526</f>
        <v>23682</v>
      </c>
      <c r="H549" s="87">
        <f>L531</f>
        <v>9180</v>
      </c>
      <c r="I549" s="87">
        <f>L536</f>
        <v>0</v>
      </c>
      <c r="J549" s="87">
        <f>L541</f>
        <v>0</v>
      </c>
      <c r="K549" s="87">
        <f>SUM(F549:J549)</f>
        <v>117251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13320</v>
      </c>
      <c r="G550" s="87">
        <f>L527</f>
        <v>0</v>
      </c>
      <c r="H550" s="87">
        <f>L532</f>
        <v>3178</v>
      </c>
      <c r="I550" s="87">
        <f>L537</f>
        <v>0</v>
      </c>
      <c r="J550" s="87">
        <f>L542</f>
        <v>0</v>
      </c>
      <c r="K550" s="87">
        <f>SUM(F550:J550)</f>
        <v>16498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107621</v>
      </c>
      <c r="G551" s="87">
        <f>L528</f>
        <v>9575</v>
      </c>
      <c r="H551" s="87">
        <f>L533</f>
        <v>5296</v>
      </c>
      <c r="I551" s="87">
        <f>L538</f>
        <v>0</v>
      </c>
      <c r="J551" s="87">
        <f>L543</f>
        <v>6416</v>
      </c>
      <c r="K551" s="87">
        <f>SUM(F551:J551)</f>
        <v>128908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205330</v>
      </c>
      <c r="G552" s="89">
        <f t="shared" si="42"/>
        <v>33257</v>
      </c>
      <c r="H552" s="89">
        <f t="shared" si="42"/>
        <v>17654</v>
      </c>
      <c r="I552" s="89">
        <f t="shared" si="42"/>
        <v>0</v>
      </c>
      <c r="J552" s="89">
        <f t="shared" si="42"/>
        <v>6416</v>
      </c>
      <c r="K552" s="89">
        <f t="shared" si="42"/>
        <v>262657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36248</v>
      </c>
      <c r="G557" s="18">
        <v>15056.59</v>
      </c>
      <c r="H557" s="18"/>
      <c r="I557" s="18">
        <v>497.57</v>
      </c>
      <c r="J557" s="18"/>
      <c r="K557" s="18"/>
      <c r="L557" s="88">
        <f>SUM(F557:K557)</f>
        <v>51802.159999999996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36248</v>
      </c>
      <c r="G560" s="108">
        <f t="shared" si="43"/>
        <v>15056.59</v>
      </c>
      <c r="H560" s="108">
        <f t="shared" si="43"/>
        <v>0</v>
      </c>
      <c r="I560" s="108">
        <f t="shared" si="43"/>
        <v>497.57</v>
      </c>
      <c r="J560" s="108">
        <f t="shared" si="43"/>
        <v>0</v>
      </c>
      <c r="K560" s="108">
        <f t="shared" si="43"/>
        <v>0</v>
      </c>
      <c r="L560" s="89">
        <f t="shared" si="43"/>
        <v>51802.159999999996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36248</v>
      </c>
      <c r="G571" s="89">
        <f t="shared" ref="G571:L571" si="46">G560+G565+G570</f>
        <v>15056.59</v>
      </c>
      <c r="H571" s="89">
        <f t="shared" si="46"/>
        <v>0</v>
      </c>
      <c r="I571" s="89">
        <f t="shared" si="46"/>
        <v>497.57</v>
      </c>
      <c r="J571" s="89">
        <f t="shared" si="46"/>
        <v>0</v>
      </c>
      <c r="K571" s="89">
        <f t="shared" si="46"/>
        <v>0</v>
      </c>
      <c r="L571" s="89">
        <f t="shared" si="46"/>
        <v>51802.159999999996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137679</v>
      </c>
      <c r="H575" s="18">
        <f>367756.02+832.25</f>
        <v>368588.27</v>
      </c>
      <c r="I575" s="87">
        <f>SUM(F575:H575)</f>
        <v>506267.27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127278</v>
      </c>
      <c r="H576" s="18"/>
      <c r="I576" s="87">
        <f t="shared" ref="I576:I587" si="47">SUM(F576:H576)</f>
        <v>127278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825</v>
      </c>
      <c r="G579" s="18"/>
      <c r="H579" s="18">
        <f>35209+38616</f>
        <v>73825</v>
      </c>
      <c r="I579" s="87">
        <f t="shared" si="47"/>
        <v>74650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v>2738</v>
      </c>
      <c r="H580" s="18">
        <v>858</v>
      </c>
      <c r="I580" s="87">
        <f t="shared" si="47"/>
        <v>3596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10582</v>
      </c>
      <c r="H582" s="18">
        <v>31940</v>
      </c>
      <c r="I582" s="87">
        <f t="shared" si="47"/>
        <v>42522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52200</v>
      </c>
      <c r="I585" s="87">
        <f t="shared" si="47"/>
        <v>52200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75936.75</v>
      </c>
      <c r="I591" s="18">
        <v>55226.96</v>
      </c>
      <c r="J591" s="18">
        <v>5049.51</v>
      </c>
      <c r="K591" s="104">
        <f t="shared" ref="K591:K597" si="48">SUM(H591:J591)</f>
        <v>136213.22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6416.36</v>
      </c>
      <c r="K592" s="104">
        <f t="shared" si="48"/>
        <v>6416.36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3185.78</v>
      </c>
      <c r="K593" s="104">
        <f t="shared" si="48"/>
        <v>3185.78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75936.75</v>
      </c>
      <c r="I598" s="108">
        <f>SUM(I591:I597)</f>
        <v>55226.96</v>
      </c>
      <c r="J598" s="108">
        <f>SUM(J591:J597)</f>
        <v>14651.65</v>
      </c>
      <c r="K598" s="108">
        <f>SUM(K591:K597)</f>
        <v>145815.35999999999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25351.03</v>
      </c>
      <c r="I604" s="18"/>
      <c r="J604" s="18"/>
      <c r="K604" s="104">
        <f>SUM(H604:J604)</f>
        <v>25351.03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25351.03</v>
      </c>
      <c r="I605" s="108">
        <f>SUM(I602:I604)</f>
        <v>0</v>
      </c>
      <c r="J605" s="108">
        <f>SUM(J602:J604)</f>
        <v>0</v>
      </c>
      <c r="K605" s="108">
        <f>SUM(K602:K604)</f>
        <v>25351.03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176450.66999999998</v>
      </c>
      <c r="H617" s="109">
        <f>SUM(F52)</f>
        <v>176450.66999999998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3079.35</v>
      </c>
      <c r="H618" s="109">
        <f>SUM(G52)</f>
        <v>3079.35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26982.23</v>
      </c>
      <c r="H619" s="109">
        <f>SUM(H52)</f>
        <v>26982.23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87113.38</v>
      </c>
      <c r="H621" s="109">
        <f>SUM(J52)</f>
        <v>87113.38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-66637.789999999994</v>
      </c>
      <c r="H622" s="109">
        <f>F476</f>
        <v>-66637.790000000037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-462.31</v>
      </c>
      <c r="H623" s="109">
        <f>G476</f>
        <v>-462.31000000000495</v>
      </c>
      <c r="I623" s="121" t="s">
        <v>102</v>
      </c>
      <c r="J623" s="109">
        <f t="shared" si="50"/>
        <v>4.9453774408902973E-12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87113.38</v>
      </c>
      <c r="H626" s="109">
        <f>J476</f>
        <v>87113.38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2351234.8000000003</v>
      </c>
      <c r="H627" s="104">
        <f>SUM(F468)</f>
        <v>2351234.7999999998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50383.95</v>
      </c>
      <c r="H628" s="104">
        <f>SUM(G468)</f>
        <v>50383.95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196971.14</v>
      </c>
      <c r="H629" s="104">
        <f>SUM(H468)</f>
        <v>196971.14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34000</v>
      </c>
      <c r="H631" s="104">
        <f>SUM(J468)</f>
        <v>34000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2417872.59</v>
      </c>
      <c r="H632" s="104">
        <f>SUM(F472)</f>
        <v>2417872.59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196971.14</v>
      </c>
      <c r="H633" s="104">
        <f>SUM(H472)</f>
        <v>196971.14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26062.87</v>
      </c>
      <c r="H634" s="104">
        <f>I369</f>
        <v>26062.87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50846.26</v>
      </c>
      <c r="H635" s="104">
        <f>SUM(G472)</f>
        <v>50846.26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68018.559999999998</v>
      </c>
      <c r="H636" s="104">
        <f>SUM(I472)</f>
        <v>68018.559999999998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34000</v>
      </c>
      <c r="H637" s="164">
        <f>SUM(J468)</f>
        <v>34000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87113.38</v>
      </c>
      <c r="H639" s="104">
        <f>SUM(F461)</f>
        <v>87113.38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87113.38</v>
      </c>
      <c r="H642" s="104">
        <f>SUM(I461)</f>
        <v>87113.38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34000</v>
      </c>
      <c r="H645" s="104">
        <f>G408</f>
        <v>34000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34000</v>
      </c>
      <c r="H646" s="104">
        <f>L408</f>
        <v>34000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145815.35999999999</v>
      </c>
      <c r="H647" s="104">
        <f>L208+L226+L244</f>
        <v>145815.35999999999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25351.03</v>
      </c>
      <c r="H648" s="104">
        <f>(J257+J338)-(J255+J336)</f>
        <v>25351.03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75936.75</v>
      </c>
      <c r="H649" s="104">
        <f>H598</f>
        <v>75936.75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55226.96</v>
      </c>
      <c r="H650" s="104">
        <f>I598</f>
        <v>55226.96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14651.65</v>
      </c>
      <c r="H651" s="104">
        <f>J598</f>
        <v>14651.65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17403.259999999998</v>
      </c>
      <c r="H652" s="104">
        <f>K263+K345</f>
        <v>17403.259999999998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34000</v>
      </c>
      <c r="H655" s="104">
        <f>K266+K347</f>
        <v>34000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1430876.47</v>
      </c>
      <c r="G660" s="19">
        <f>(L229+L309+L359)</f>
        <v>347102.48</v>
      </c>
      <c r="H660" s="19">
        <f>(L247+L328+L360)</f>
        <v>595411.08000000007</v>
      </c>
      <c r="I660" s="19">
        <f>SUM(F660:H660)</f>
        <v>2373390.0300000003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9518.07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9518.07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100881.25</v>
      </c>
      <c r="G662" s="19">
        <f>(L226+L306)-(J226+J306)</f>
        <v>55226.96</v>
      </c>
      <c r="H662" s="19">
        <f>(L244+L325)-(J244+J325)</f>
        <v>14651.65</v>
      </c>
      <c r="I662" s="19">
        <f>SUM(F662:H662)</f>
        <v>170759.86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26176.03</v>
      </c>
      <c r="G663" s="199">
        <f>SUM(G575:G587)+SUM(I602:I604)+L612</f>
        <v>278277</v>
      </c>
      <c r="H663" s="199">
        <f>SUM(H575:H587)+SUM(J602:J604)+L613</f>
        <v>527411.27</v>
      </c>
      <c r="I663" s="19">
        <f>SUM(F663:H663)</f>
        <v>831864.3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1294301.1199999999</v>
      </c>
      <c r="G664" s="19">
        <f>G660-SUM(G661:G663)</f>
        <v>13598.51999999996</v>
      </c>
      <c r="H664" s="19">
        <f>H660-SUM(H661:H663)</f>
        <v>53348.160000000033</v>
      </c>
      <c r="I664" s="19">
        <f>I660-SUM(I661:I663)</f>
        <v>1361247.8000000003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66.650000000000006</v>
      </c>
      <c r="G665" s="248"/>
      <c r="H665" s="248"/>
      <c r="I665" s="19">
        <f>SUM(F665:H665)</f>
        <v>66.650000000000006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19419.37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20423.82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-13598.52</v>
      </c>
      <c r="H669" s="18">
        <v>-53348.160000000003</v>
      </c>
      <c r="I669" s="19">
        <f>SUM(F669:H669)</f>
        <v>-66946.680000000008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19419.37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19419.37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Warren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315940.34999999998</v>
      </c>
      <c r="C9" s="229">
        <f>'DOE25'!G197+'DOE25'!G215+'DOE25'!G233+'DOE25'!G276+'DOE25'!G295+'DOE25'!G314</f>
        <v>169226</v>
      </c>
    </row>
    <row r="10" spans="1:3" x14ac:dyDescent="0.2">
      <c r="A10" t="s">
        <v>779</v>
      </c>
      <c r="B10" s="240">
        <f>326063.47-22289.53</f>
        <v>303773.93999999994</v>
      </c>
      <c r="C10" s="240">
        <v>164551.94</v>
      </c>
    </row>
    <row r="11" spans="1:3" x14ac:dyDescent="0.2">
      <c r="A11" t="s">
        <v>780</v>
      </c>
      <c r="B11" s="240">
        <v>6518.16</v>
      </c>
      <c r="C11" s="240">
        <v>4242.08</v>
      </c>
    </row>
    <row r="12" spans="1:3" x14ac:dyDescent="0.2">
      <c r="A12" t="s">
        <v>781</v>
      </c>
      <c r="B12" s="240">
        <v>5648.25</v>
      </c>
      <c r="C12" s="240">
        <v>431.98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315940.34999999992</v>
      </c>
      <c r="C13" s="231">
        <f>SUM(C10:C12)</f>
        <v>169226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97146.59</v>
      </c>
      <c r="C18" s="229">
        <f>'DOE25'!G198+'DOE25'!G216+'DOE25'!G234+'DOE25'!G277+'DOE25'!G296+'DOE25'!G315</f>
        <v>48993.5</v>
      </c>
    </row>
    <row r="19" spans="1:3" x14ac:dyDescent="0.2">
      <c r="A19" t="s">
        <v>779</v>
      </c>
      <c r="B19" s="240">
        <f>76230.62+11650.02</f>
        <v>87880.639999999999</v>
      </c>
      <c r="C19" s="240">
        <v>42925.57</v>
      </c>
    </row>
    <row r="20" spans="1:3" x14ac:dyDescent="0.2">
      <c r="A20" t="s">
        <v>780</v>
      </c>
      <c r="B20" s="240">
        <v>8643.9</v>
      </c>
      <c r="C20" s="240">
        <v>6020.34</v>
      </c>
    </row>
    <row r="21" spans="1:3" x14ac:dyDescent="0.2">
      <c r="A21" t="s">
        <v>781</v>
      </c>
      <c r="B21" s="240">
        <v>622.04999999999995</v>
      </c>
      <c r="C21" s="240">
        <v>47.59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97146.59</v>
      </c>
      <c r="C22" s="231">
        <f>SUM(C19:C21)</f>
        <v>48993.5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32578.75</v>
      </c>
      <c r="C36" s="235">
        <f>'DOE25'!G200+'DOE25'!G218+'DOE25'!G236+'DOE25'!G279+'DOE25'!G298+'DOE25'!G317</f>
        <v>4072.29</v>
      </c>
    </row>
    <row r="37" spans="1:3" x14ac:dyDescent="0.2">
      <c r="A37" t="s">
        <v>779</v>
      </c>
      <c r="B37" s="240">
        <f>23535+2588.75</f>
        <v>26123.75</v>
      </c>
      <c r="C37" s="240">
        <v>2724.63</v>
      </c>
    </row>
    <row r="38" spans="1:3" x14ac:dyDescent="0.2">
      <c r="A38" t="s">
        <v>780</v>
      </c>
      <c r="B38" s="240">
        <v>5355</v>
      </c>
      <c r="C38" s="240">
        <v>1263.51</v>
      </c>
    </row>
    <row r="39" spans="1:3" x14ac:dyDescent="0.2">
      <c r="A39" t="s">
        <v>781</v>
      </c>
      <c r="B39" s="240">
        <v>1100</v>
      </c>
      <c r="C39" s="240">
        <v>84.15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32578.75</v>
      </c>
      <c r="C40" s="231">
        <f>SUM(C37:C39)</f>
        <v>4072.2900000000004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29" sqref="F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Warren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1488292.31</v>
      </c>
      <c r="D5" s="20">
        <f>SUM('DOE25'!L197:L200)+SUM('DOE25'!L215:L218)+SUM('DOE25'!L233:L236)-F5-G5</f>
        <v>1472275.17</v>
      </c>
      <c r="E5" s="243"/>
      <c r="F5" s="255">
        <f>SUM('DOE25'!J197:J200)+SUM('DOE25'!J215:J218)+SUM('DOE25'!J233:J236)</f>
        <v>15278.84</v>
      </c>
      <c r="G5" s="53">
        <f>SUM('DOE25'!K197:K200)+SUM('DOE25'!K215:K218)+SUM('DOE25'!K233:K236)</f>
        <v>738.3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86663.62999999999</v>
      </c>
      <c r="D6" s="20">
        <f>'DOE25'!L202+'DOE25'!L220+'DOE25'!L238-F6-G6</f>
        <v>82828.37999999999</v>
      </c>
      <c r="E6" s="243"/>
      <c r="F6" s="255">
        <f>'DOE25'!J202+'DOE25'!J220+'DOE25'!J238</f>
        <v>0</v>
      </c>
      <c r="G6" s="53">
        <f>'DOE25'!K202+'DOE25'!K220+'DOE25'!K238</f>
        <v>3835.25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37121.050000000003</v>
      </c>
      <c r="D7" s="20">
        <f>'DOE25'!L203+'DOE25'!L221+'DOE25'!L239-F7-G7</f>
        <v>37121.050000000003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82724.47</v>
      </c>
      <c r="D8" s="243"/>
      <c r="E8" s="20">
        <f>'DOE25'!L204+'DOE25'!L222+'DOE25'!L240-F8-G8-D9-D11</f>
        <v>80384</v>
      </c>
      <c r="F8" s="255">
        <f>'DOE25'!J204+'DOE25'!J222+'DOE25'!J240</f>
        <v>0</v>
      </c>
      <c r="G8" s="53">
        <f>'DOE25'!K204+'DOE25'!K222+'DOE25'!K240</f>
        <v>2340.4699999999998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5271.55</v>
      </c>
      <c r="D9" s="244">
        <v>5271.55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2524.8599999999997</v>
      </c>
      <c r="D11" s="244">
        <f>922.14+414.95+232.77+955</f>
        <v>2524.8599999999997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134750.09000000003</v>
      </c>
      <c r="D12" s="20">
        <f>'DOE25'!L205+'DOE25'!L223+'DOE25'!L241-F12-G12</f>
        <v>133548.89000000001</v>
      </c>
      <c r="E12" s="243"/>
      <c r="F12" s="255">
        <f>'DOE25'!J205+'DOE25'!J223+'DOE25'!J241</f>
        <v>877.2</v>
      </c>
      <c r="G12" s="53">
        <f>'DOE25'!K205+'DOE25'!K223+'DOE25'!K241</f>
        <v>324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139440.95999999999</v>
      </c>
      <c r="D14" s="20">
        <f>'DOE25'!L207+'DOE25'!L225+'DOE25'!L243-F14-G14</f>
        <v>130039.96999999999</v>
      </c>
      <c r="E14" s="243"/>
      <c r="F14" s="255">
        <f>'DOE25'!J207+'DOE25'!J225+'DOE25'!J243</f>
        <v>9194.99</v>
      </c>
      <c r="G14" s="53">
        <f>'DOE25'!K207+'DOE25'!K225+'DOE25'!K243</f>
        <v>206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145815.35999999999</v>
      </c>
      <c r="D15" s="20">
        <f>'DOE25'!L208+'DOE25'!L226+'DOE25'!L244-F15-G15</f>
        <v>145815.35999999999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2968.35</v>
      </c>
      <c r="D16" s="243"/>
      <c r="E16" s="20">
        <f>'DOE25'!L209+'DOE25'!L227+'DOE25'!L245-F16-G16</f>
        <v>2968.35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240896.7</v>
      </c>
      <c r="D22" s="243"/>
      <c r="E22" s="243"/>
      <c r="F22" s="255">
        <f>'DOE25'!L255+'DOE25'!L336</f>
        <v>240896.7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24783.390000000003</v>
      </c>
      <c r="D29" s="20">
        <f>'DOE25'!L358+'DOE25'!L359+'DOE25'!L360-'DOE25'!I367-F29-G29</f>
        <v>24674.390000000003</v>
      </c>
      <c r="E29" s="243"/>
      <c r="F29" s="255">
        <f>'DOE25'!J358+'DOE25'!J359+'DOE25'!J360</f>
        <v>109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196971.14</v>
      </c>
      <c r="D31" s="20">
        <f>'DOE25'!L290+'DOE25'!L309+'DOE25'!L328+'DOE25'!L333+'DOE25'!L334+'DOE25'!L335-F31-G31</f>
        <v>195872.14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1099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2229971.7599999998</v>
      </c>
      <c r="E33" s="246">
        <f>SUM(E5:E31)</f>
        <v>90352.35</v>
      </c>
      <c r="F33" s="246">
        <f>SUM(F5:F31)</f>
        <v>266356.73</v>
      </c>
      <c r="G33" s="246">
        <f>SUM(G5:G31)</f>
        <v>8543.02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90352.35</v>
      </c>
      <c r="E35" s="249"/>
    </row>
    <row r="36" spans="2:8" ht="12" thickTop="1" x14ac:dyDescent="0.2">
      <c r="B36" t="s">
        <v>815</v>
      </c>
      <c r="D36" s="20">
        <f>D33</f>
        <v>2229971.7599999998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" activePane="bottomLeft" state="frozen"/>
      <selection activeCell="F46" sqref="F46"/>
      <selection pane="bottomLeft" activeCell="G47" sqref="G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116247.18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68000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51019.11</v>
      </c>
      <c r="D12" s="95">
        <f>'DOE25'!G13</f>
        <v>3079.35</v>
      </c>
      <c r="E12" s="95">
        <f>'DOE25'!H13</f>
        <v>26982.23</v>
      </c>
      <c r="F12" s="95">
        <f>'DOE25'!I13</f>
        <v>0</v>
      </c>
      <c r="G12" s="95">
        <f>'DOE25'!J13</f>
        <v>19113.38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6759.88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2424.5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176450.66999999998</v>
      </c>
      <c r="D18" s="41">
        <f>SUM(D8:D17)</f>
        <v>3079.35</v>
      </c>
      <c r="E18" s="41">
        <f>SUM(E8:E17)</f>
        <v>26982.23</v>
      </c>
      <c r="F18" s="41">
        <f>SUM(F8:F17)</f>
        <v>0</v>
      </c>
      <c r="G18" s="41">
        <f>SUM(G8:G17)</f>
        <v>87113.38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32371.71</v>
      </c>
      <c r="D21" s="95">
        <f>'DOE25'!G22</f>
        <v>2248.41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101961.23</v>
      </c>
      <c r="D23" s="95">
        <f>'DOE25'!G24</f>
        <v>1023.94</v>
      </c>
      <c r="E23" s="95">
        <f>'DOE25'!H24</f>
        <v>5667.06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107427.12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1328.4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21315.17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269.31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243088.46</v>
      </c>
      <c r="D31" s="41">
        <f>SUM(D21:D30)</f>
        <v>3541.66</v>
      </c>
      <c r="E31" s="41">
        <f>SUM(E21:E30)</f>
        <v>26982.23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2424.5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-462.31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87113.38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-69062.289999999994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-66637.789999999994</v>
      </c>
      <c r="D50" s="41">
        <f>SUM(D34:D49)</f>
        <v>-462.31</v>
      </c>
      <c r="E50" s="41">
        <f>SUM(E34:E49)</f>
        <v>0</v>
      </c>
      <c r="F50" s="41">
        <f>SUM(F34:F49)</f>
        <v>0</v>
      </c>
      <c r="G50" s="41">
        <f>SUM(G34:G49)</f>
        <v>87113.38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176450.66999999998</v>
      </c>
      <c r="D51" s="41">
        <f>D50+D31</f>
        <v>3079.35</v>
      </c>
      <c r="E51" s="41">
        <f>E50+E31</f>
        <v>26982.23</v>
      </c>
      <c r="F51" s="41">
        <f>F50+F31</f>
        <v>0</v>
      </c>
      <c r="G51" s="41">
        <f>G50+G31</f>
        <v>87113.38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1253727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2637.27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172.27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8003.93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4394.82</v>
      </c>
      <c r="D61" s="95">
        <f>SUM('DOE25'!G98:G110)</f>
        <v>1514.14</v>
      </c>
      <c r="E61" s="95">
        <f>SUM('DOE25'!H98:H110)</f>
        <v>19311.48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7204.36</v>
      </c>
      <c r="D62" s="130">
        <f>SUM(D57:D61)</f>
        <v>9518.07</v>
      </c>
      <c r="E62" s="130">
        <f>SUM(E57:E61)</f>
        <v>19311.48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1260931.3600000001</v>
      </c>
      <c r="D63" s="22">
        <f>D56+D62</f>
        <v>9518.07</v>
      </c>
      <c r="E63" s="22">
        <f>E56+E62</f>
        <v>19311.48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712837.42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160605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873442.42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65128.58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409.14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65128.58</v>
      </c>
      <c r="D78" s="130">
        <f>SUM(D72:D77)</f>
        <v>409.14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938571</v>
      </c>
      <c r="D81" s="130">
        <f>SUM(D79:D80)+D78+D70</f>
        <v>409.14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1919.2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30112.16</v>
      </c>
      <c r="D88" s="95">
        <f>SUM('DOE25'!G153:G161)</f>
        <v>23053.48</v>
      </c>
      <c r="E88" s="95">
        <f>SUM('DOE25'!H153:H161)</f>
        <v>175740.46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10533.09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40645.25</v>
      </c>
      <c r="D91" s="131">
        <f>SUM(D85:D90)</f>
        <v>23053.48</v>
      </c>
      <c r="E91" s="131">
        <f>SUM(E85:E90)</f>
        <v>177659.66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17403.259999999998</v>
      </c>
      <c r="E96" s="95">
        <f>'DOE25'!H179</f>
        <v>0</v>
      </c>
      <c r="F96" s="95">
        <f>'DOE25'!I179</f>
        <v>0</v>
      </c>
      <c r="G96" s="95">
        <f>'DOE25'!J179</f>
        <v>34000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68000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43087.19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111087.19</v>
      </c>
      <c r="D103" s="86">
        <f>SUM(D93:D102)</f>
        <v>17403.259999999998</v>
      </c>
      <c r="E103" s="86">
        <f>SUM(E93:E102)</f>
        <v>0</v>
      </c>
      <c r="F103" s="86">
        <f>SUM(F93:F102)</f>
        <v>0</v>
      </c>
      <c r="G103" s="86">
        <f>SUM(G93:G102)</f>
        <v>34000</v>
      </c>
    </row>
    <row r="104" spans="1:7" ht="12.75" thickTop="1" thickBot="1" x14ac:dyDescent="0.25">
      <c r="A104" s="33" t="s">
        <v>765</v>
      </c>
      <c r="C104" s="86">
        <f>C63+C81+C91+C103</f>
        <v>2351234.8000000003</v>
      </c>
      <c r="D104" s="86">
        <f>D63+D81+D91+D103</f>
        <v>50383.95</v>
      </c>
      <c r="E104" s="86">
        <f>E63+E81+E91+E103</f>
        <v>196971.14</v>
      </c>
      <c r="F104" s="86">
        <f>F63+F81+F91+F103</f>
        <v>0</v>
      </c>
      <c r="G104" s="86">
        <f>G63+G81+G103</f>
        <v>34000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1221752.0900000001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205331.08000000002</v>
      </c>
      <c r="D110" s="24" t="s">
        <v>289</v>
      </c>
      <c r="E110" s="95">
        <f>('DOE25'!L277)+('DOE25'!L296)+('DOE25'!L315)</f>
        <v>68758.649999999994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52200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9009.14</v>
      </c>
      <c r="D112" s="24" t="s">
        <v>289</v>
      </c>
      <c r="E112" s="95">
        <f>+('DOE25'!L279)+('DOE25'!L298)+('DOE25'!L317)</f>
        <v>39483.14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1488292.31</v>
      </c>
      <c r="D115" s="86">
        <f>SUM(D109:D114)</f>
        <v>0</v>
      </c>
      <c r="E115" s="86">
        <f>SUM(E109:E114)</f>
        <v>108241.79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86663.62999999999</v>
      </c>
      <c r="D118" s="24" t="s">
        <v>289</v>
      </c>
      <c r="E118" s="95">
        <f>+('DOE25'!L281)+('DOE25'!L300)+('DOE25'!L319)</f>
        <v>10788.86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37121.050000000003</v>
      </c>
      <c r="D119" s="24" t="s">
        <v>289</v>
      </c>
      <c r="E119" s="95">
        <f>+('DOE25'!L282)+('DOE25'!L301)+('DOE25'!L320)</f>
        <v>9895.83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90520.88</v>
      </c>
      <c r="D120" s="24" t="s">
        <v>289</v>
      </c>
      <c r="E120" s="95">
        <f>+('DOE25'!L283)+('DOE25'!L302)+('DOE25'!L321)</f>
        <v>1099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134750.09000000003</v>
      </c>
      <c r="D121" s="24" t="s">
        <v>289</v>
      </c>
      <c r="E121" s="95">
        <f>+('DOE25'!L284)+('DOE25'!L303)+('DOE25'!L322)</f>
        <v>42001.16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139440.95999999999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145815.35999999999</v>
      </c>
      <c r="D124" s="24" t="s">
        <v>289</v>
      </c>
      <c r="E124" s="95">
        <f>+('DOE25'!L287)+('DOE25'!L306)+('DOE25'!L325)</f>
        <v>24944.5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2968.35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50846.26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637280.31999999995</v>
      </c>
      <c r="D128" s="86">
        <f>SUM(D118:D127)</f>
        <v>50846.26</v>
      </c>
      <c r="E128" s="86">
        <f>SUM(E118:E127)</f>
        <v>88729.35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240896.7</v>
      </c>
      <c r="D130" s="24" t="s">
        <v>289</v>
      </c>
      <c r="E130" s="129">
        <f>'DOE25'!L336</f>
        <v>0</v>
      </c>
      <c r="F130" s="129">
        <f>SUM('DOE25'!L374:'DOE25'!L380)</f>
        <v>68018.559999999998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17403.259999999998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34000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292299.96000000002</v>
      </c>
      <c r="D144" s="141">
        <f>SUM(D130:D143)</f>
        <v>0</v>
      </c>
      <c r="E144" s="141">
        <f>SUM(E130:E143)</f>
        <v>0</v>
      </c>
      <c r="F144" s="141">
        <f>SUM(F130:F143)</f>
        <v>68018.559999999998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2417872.59</v>
      </c>
      <c r="D145" s="86">
        <f>(D115+D128+D144)</f>
        <v>50846.26</v>
      </c>
      <c r="E145" s="86">
        <f>(E115+E128+E144)</f>
        <v>196971.14</v>
      </c>
      <c r="F145" s="86">
        <f>(F115+F128+F144)</f>
        <v>68018.559999999998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Warren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19419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19419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1221752</v>
      </c>
      <c r="D10" s="182">
        <f>ROUND((C10/$C$28)*100,1)</f>
        <v>51.7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274090</v>
      </c>
      <c r="D11" s="182">
        <f>ROUND((C11/$C$28)*100,1)</f>
        <v>11.6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52200</v>
      </c>
      <c r="D12" s="182">
        <f>ROUND((C12/$C$28)*100,1)</f>
        <v>2.2000000000000002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48492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97452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47017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94588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176751</v>
      </c>
      <c r="D18" s="182">
        <f t="shared" si="0"/>
        <v>7.5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139441</v>
      </c>
      <c r="D20" s="182">
        <f t="shared" si="0"/>
        <v>5.9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170760</v>
      </c>
      <c r="D21" s="182">
        <f t="shared" si="0"/>
        <v>7.2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41327.93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2363870.9300000002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308915</v>
      </c>
    </row>
    <row r="30" spans="1:4" x14ac:dyDescent="0.2">
      <c r="B30" s="187" t="s">
        <v>729</v>
      </c>
      <c r="C30" s="180">
        <f>SUM(C28:C29)</f>
        <v>2672785.9300000002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1253727</v>
      </c>
      <c r="D35" s="182">
        <f t="shared" ref="D35:D40" si="1">ROUND((C35/$C$41)*100,1)</f>
        <v>51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26515.840000000084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873442</v>
      </c>
      <c r="D37" s="182">
        <f t="shared" si="1"/>
        <v>35.5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65538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241358</v>
      </c>
      <c r="D39" s="182">
        <f t="shared" si="1"/>
        <v>9.8000000000000007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2460580.84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Warren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2014-12-12T18:42:45Z</cp:lastPrinted>
  <dcterms:created xsi:type="dcterms:W3CDTF">1997-12-04T19:04:30Z</dcterms:created>
  <dcterms:modified xsi:type="dcterms:W3CDTF">2014-12-12T18:47:56Z</dcterms:modified>
</cp:coreProperties>
</file>