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150" windowWidth="12735" windowHeight="636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240" i="1" l="1"/>
  <c r="H222" i="1"/>
  <c r="H204" i="1"/>
  <c r="G197" i="1" l="1"/>
  <c r="F465" i="1" l="1"/>
  <c r="H22" i="1" l="1"/>
  <c r="H13" i="1"/>
  <c r="J591" i="1" l="1"/>
  <c r="I591" i="1"/>
  <c r="H398" i="1"/>
  <c r="H397" i="1"/>
  <c r="J465" i="1"/>
  <c r="J96" i="1"/>
  <c r="G440" i="1"/>
  <c r="G459" i="1"/>
  <c r="H591" i="1" l="1"/>
  <c r="F499" i="1"/>
  <c r="F498" i="1"/>
  <c r="H155" i="1"/>
  <c r="H154" i="1"/>
  <c r="G158" i="1"/>
  <c r="C45" i="2" l="1"/>
  <c r="G51" i="1"/>
  <c r="C37" i="10" l="1"/>
  <c r="F40" i="2" l="1"/>
  <c r="D39" i="2"/>
  <c r="G655" i="1"/>
  <c r="J655" i="1" s="1"/>
  <c r="F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C122" i="2" s="1"/>
  <c r="L242" i="1"/>
  <c r="F16" i="13"/>
  <c r="G16" i="13"/>
  <c r="L209" i="1"/>
  <c r="L227" i="1"/>
  <c r="L245" i="1"/>
  <c r="F5" i="13"/>
  <c r="G5" i="13"/>
  <c r="L197" i="1"/>
  <c r="L198" i="1"/>
  <c r="L199" i="1"/>
  <c r="C111" i="2" s="1"/>
  <c r="L200" i="1"/>
  <c r="L215" i="1"/>
  <c r="L216" i="1"/>
  <c r="L217" i="1"/>
  <c r="L218" i="1"/>
  <c r="L233" i="1"/>
  <c r="L234" i="1"/>
  <c r="C110" i="2" s="1"/>
  <c r="L235" i="1"/>
  <c r="L236" i="1"/>
  <c r="F6" i="13"/>
  <c r="G6" i="13"/>
  <c r="L202" i="1"/>
  <c r="C15" i="10" s="1"/>
  <c r="L220" i="1"/>
  <c r="D6" i="13" s="1"/>
  <c r="C6" i="13" s="1"/>
  <c r="L238" i="1"/>
  <c r="F7" i="13"/>
  <c r="G7" i="13"/>
  <c r="L203" i="1"/>
  <c r="C16" i="10" s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G649" i="1" s="1"/>
  <c r="L226" i="1"/>
  <c r="G650" i="1" s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G661" i="1" s="1"/>
  <c r="I367" i="1"/>
  <c r="I369" i="1" s="1"/>
  <c r="H634" i="1" s="1"/>
  <c r="J290" i="1"/>
  <c r="J309" i="1"/>
  <c r="J328" i="1"/>
  <c r="K290" i="1"/>
  <c r="K309" i="1"/>
  <c r="K328" i="1"/>
  <c r="L276" i="1"/>
  <c r="L277" i="1"/>
  <c r="E110" i="2" s="1"/>
  <c r="L278" i="1"/>
  <c r="L279" i="1"/>
  <c r="L281" i="1"/>
  <c r="E118" i="2" s="1"/>
  <c r="L282" i="1"/>
  <c r="E119" i="2" s="1"/>
  <c r="L283" i="1"/>
  <c r="L284" i="1"/>
  <c r="L285" i="1"/>
  <c r="L286" i="1"/>
  <c r="E123" i="2" s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L261" i="1"/>
  <c r="C132" i="2" s="1"/>
  <c r="L341" i="1"/>
  <c r="L351" i="1" s="1"/>
  <c r="L342" i="1"/>
  <c r="L255" i="1"/>
  <c r="L336" i="1"/>
  <c r="E130" i="2" s="1"/>
  <c r="C11" i="13"/>
  <c r="C10" i="13"/>
  <c r="C9" i="13"/>
  <c r="L361" i="1"/>
  <c r="L362" i="1" s="1"/>
  <c r="G472" i="1" s="1"/>
  <c r="G474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93" i="1" s="1"/>
  <c r="C138" i="2" s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L612" i="1"/>
  <c r="G663" i="1" s="1"/>
  <c r="L611" i="1"/>
  <c r="C40" i="10"/>
  <c r="F60" i="1"/>
  <c r="G60" i="1"/>
  <c r="C35" i="10" s="1"/>
  <c r="H60" i="1"/>
  <c r="I60" i="1"/>
  <c r="F79" i="1"/>
  <c r="C57" i="2" s="1"/>
  <c r="F94" i="1"/>
  <c r="C58" i="2" s="1"/>
  <c r="F111" i="1"/>
  <c r="G111" i="1"/>
  <c r="H79" i="1"/>
  <c r="H112" i="1" s="1"/>
  <c r="H94" i="1"/>
  <c r="E58" i="2" s="1"/>
  <c r="E62" i="2" s="1"/>
  <c r="E63" i="2" s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40" i="1" s="1"/>
  <c r="J136" i="1"/>
  <c r="F147" i="1"/>
  <c r="F162" i="1"/>
  <c r="F169" i="1" s="1"/>
  <c r="G147" i="1"/>
  <c r="D85" i="2" s="1"/>
  <c r="D91" i="2" s="1"/>
  <c r="G162" i="1"/>
  <c r="H147" i="1"/>
  <c r="H162" i="1"/>
  <c r="H169" i="1" s="1"/>
  <c r="I147" i="1"/>
  <c r="F85" i="2" s="1"/>
  <c r="I162" i="1"/>
  <c r="C12" i="10"/>
  <c r="C13" i="10"/>
  <c r="C21" i="10"/>
  <c r="L250" i="1"/>
  <c r="L332" i="1"/>
  <c r="L254" i="1"/>
  <c r="C25" i="10"/>
  <c r="L268" i="1"/>
  <c r="L269" i="1"/>
  <c r="L349" i="1"/>
  <c r="L350" i="1"/>
  <c r="C26" i="10" s="1"/>
  <c r="I665" i="1"/>
  <c r="I670" i="1"/>
  <c r="F662" i="1"/>
  <c r="I662" i="1" s="1"/>
  <c r="G662" i="1"/>
  <c r="H662" i="1"/>
  <c r="I669" i="1"/>
  <c r="C42" i="10"/>
  <c r="C32" i="10"/>
  <c r="L374" i="1"/>
  <c r="L375" i="1"/>
  <c r="L376" i="1"/>
  <c r="L377" i="1"/>
  <c r="F130" i="2" s="1"/>
  <c r="L378" i="1"/>
  <c r="L379" i="1"/>
  <c r="L380" i="1"/>
  <c r="B2" i="10"/>
  <c r="L344" i="1"/>
  <c r="L345" i="1"/>
  <c r="L346" i="1"/>
  <c r="E137" i="2" s="1"/>
  <c r="L347" i="1"/>
  <c r="K351" i="1"/>
  <c r="L521" i="1"/>
  <c r="F549" i="1" s="1"/>
  <c r="L522" i="1"/>
  <c r="F550" i="1" s="1"/>
  <c r="K550" i="1" s="1"/>
  <c r="L523" i="1"/>
  <c r="F551" i="1" s="1"/>
  <c r="K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J552" i="1" s="1"/>
  <c r="L543" i="1"/>
  <c r="J551" i="1" s="1"/>
  <c r="E132" i="2"/>
  <c r="K270" i="1"/>
  <c r="L270" i="1" s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56" i="2"/>
  <c r="D56" i="2"/>
  <c r="E56" i="2"/>
  <c r="F56" i="2"/>
  <c r="E57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11" i="2"/>
  <c r="C112" i="2"/>
  <c r="E112" i="2"/>
  <c r="C113" i="2"/>
  <c r="E113" i="2"/>
  <c r="C114" i="2"/>
  <c r="D115" i="2"/>
  <c r="F115" i="2"/>
  <c r="G115" i="2"/>
  <c r="E120" i="2"/>
  <c r="E121" i="2"/>
  <c r="E122" i="2"/>
  <c r="E124" i="2"/>
  <c r="C125" i="2"/>
  <c r="E125" i="2"/>
  <c r="F128" i="2"/>
  <c r="G128" i="2"/>
  <c r="C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D30" i="2" s="1"/>
  <c r="H19" i="1"/>
  <c r="G619" i="1" s="1"/>
  <c r="I19" i="1"/>
  <c r="G620" i="1" s="1"/>
  <c r="F32" i="1"/>
  <c r="G32" i="1"/>
  <c r="G52" i="1" s="1"/>
  <c r="H618" i="1" s="1"/>
  <c r="H32" i="1"/>
  <c r="E48" i="2" s="1"/>
  <c r="I32" i="1"/>
  <c r="H51" i="1"/>
  <c r="I51" i="1"/>
  <c r="F177" i="1"/>
  <c r="I177" i="1"/>
  <c r="F183" i="1"/>
  <c r="G183" i="1"/>
  <c r="H183" i="1"/>
  <c r="I183" i="1"/>
  <c r="J183" i="1"/>
  <c r="J192" i="1" s="1"/>
  <c r="F188" i="1"/>
  <c r="F192" i="1" s="1"/>
  <c r="G188" i="1"/>
  <c r="H188" i="1"/>
  <c r="I188" i="1"/>
  <c r="F211" i="1"/>
  <c r="G211" i="1"/>
  <c r="H211" i="1"/>
  <c r="I211" i="1"/>
  <c r="J211" i="1"/>
  <c r="H604" i="1" s="1"/>
  <c r="H605" i="1" s="1"/>
  <c r="K211" i="1"/>
  <c r="F229" i="1"/>
  <c r="G229" i="1"/>
  <c r="H229" i="1"/>
  <c r="I229" i="1"/>
  <c r="J229" i="1"/>
  <c r="I604" i="1" s="1"/>
  <c r="K229" i="1"/>
  <c r="F247" i="1"/>
  <c r="G247" i="1"/>
  <c r="H247" i="1"/>
  <c r="I247" i="1"/>
  <c r="J247" i="1"/>
  <c r="J604" i="1" s="1"/>
  <c r="J605" i="1" s="1"/>
  <c r="K247" i="1"/>
  <c r="F256" i="1"/>
  <c r="G256" i="1"/>
  <c r="H256" i="1"/>
  <c r="I256" i="1"/>
  <c r="J256" i="1"/>
  <c r="K256" i="1"/>
  <c r="F290" i="1"/>
  <c r="G290" i="1"/>
  <c r="G338" i="1" s="1"/>
  <c r="G352" i="1" s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J644" i="1" s="1"/>
  <c r="I401" i="1"/>
  <c r="F407" i="1"/>
  <c r="G407" i="1"/>
  <c r="H407" i="1"/>
  <c r="I407" i="1"/>
  <c r="F408" i="1"/>
  <c r="G408" i="1"/>
  <c r="I408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7" i="1" s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J639" i="1" s="1"/>
  <c r="G446" i="1"/>
  <c r="G640" i="1" s="1"/>
  <c r="H446" i="1"/>
  <c r="F452" i="1"/>
  <c r="G452" i="1"/>
  <c r="H452" i="1"/>
  <c r="F460" i="1"/>
  <c r="G460" i="1"/>
  <c r="G461" i="1" s="1"/>
  <c r="H640" i="1" s="1"/>
  <c r="H460" i="1"/>
  <c r="F461" i="1"/>
  <c r="H639" i="1" s="1"/>
  <c r="H461" i="1"/>
  <c r="I470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J545" i="1" s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H571" i="1" s="1"/>
  <c r="I560" i="1"/>
  <c r="J560" i="1"/>
  <c r="K560" i="1"/>
  <c r="L562" i="1"/>
  <c r="L565" i="1" s="1"/>
  <c r="L563" i="1"/>
  <c r="L564" i="1"/>
  <c r="F565" i="1"/>
  <c r="G565" i="1"/>
  <c r="H565" i="1"/>
  <c r="I565" i="1"/>
  <c r="J565" i="1"/>
  <c r="J571" i="1" s="1"/>
  <c r="K565" i="1"/>
  <c r="K571" i="1" s="1"/>
  <c r="L567" i="1"/>
  <c r="L570" i="1" s="1"/>
  <c r="L568" i="1"/>
  <c r="L569" i="1"/>
  <c r="F570" i="1"/>
  <c r="F571" i="1" s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J651" i="1" s="1"/>
  <c r="K602" i="1"/>
  <c r="K603" i="1"/>
  <c r="I605" i="1"/>
  <c r="F614" i="1"/>
  <c r="G614" i="1"/>
  <c r="H614" i="1"/>
  <c r="I614" i="1"/>
  <c r="J614" i="1"/>
  <c r="K614" i="1"/>
  <c r="G617" i="1"/>
  <c r="G618" i="1"/>
  <c r="G623" i="1"/>
  <c r="H630" i="1"/>
  <c r="G634" i="1"/>
  <c r="H636" i="1"/>
  <c r="H638" i="1"/>
  <c r="G641" i="1"/>
  <c r="H641" i="1"/>
  <c r="G643" i="1"/>
  <c r="H643" i="1"/>
  <c r="J643" i="1" s="1"/>
  <c r="G644" i="1"/>
  <c r="H645" i="1"/>
  <c r="H647" i="1"/>
  <c r="G651" i="1"/>
  <c r="G652" i="1"/>
  <c r="H652" i="1"/>
  <c r="G653" i="1"/>
  <c r="H653" i="1"/>
  <c r="G654" i="1"/>
  <c r="H654" i="1"/>
  <c r="H655" i="1"/>
  <c r="L256" i="1"/>
  <c r="L328" i="1"/>
  <c r="J641" i="1"/>
  <c r="L433" i="1"/>
  <c r="G552" i="1"/>
  <c r="I552" i="1"/>
  <c r="G22" i="2"/>
  <c r="K545" i="1"/>
  <c r="H140" i="1"/>
  <c r="F22" i="13"/>
  <c r="C22" i="13" s="1"/>
  <c r="L560" i="1"/>
  <c r="F338" i="1"/>
  <c r="F352" i="1" s="1"/>
  <c r="G192" i="1"/>
  <c r="H192" i="1"/>
  <c r="L309" i="1"/>
  <c r="I571" i="1"/>
  <c r="I545" i="1"/>
  <c r="G545" i="1"/>
  <c r="K549" i="1" l="1"/>
  <c r="K552" i="1" s="1"/>
  <c r="H545" i="1"/>
  <c r="L229" i="1"/>
  <c r="A13" i="12"/>
  <c r="C120" i="2"/>
  <c r="I257" i="1"/>
  <c r="I271" i="1" s="1"/>
  <c r="C17" i="10"/>
  <c r="G257" i="1"/>
  <c r="L211" i="1"/>
  <c r="J634" i="1"/>
  <c r="I52" i="1"/>
  <c r="H620" i="1" s="1"/>
  <c r="J620" i="1" s="1"/>
  <c r="H52" i="1"/>
  <c r="H619" i="1" s="1"/>
  <c r="J619" i="1" s="1"/>
  <c r="L401" i="1"/>
  <c r="C139" i="2" s="1"/>
  <c r="J640" i="1"/>
  <c r="F112" i="1"/>
  <c r="C36" i="10" s="1"/>
  <c r="L614" i="1"/>
  <c r="L539" i="1"/>
  <c r="I452" i="1"/>
  <c r="K257" i="1"/>
  <c r="K271" i="1" s="1"/>
  <c r="E109" i="2"/>
  <c r="E115" i="2" s="1"/>
  <c r="D17" i="13"/>
  <c r="C17" i="13" s="1"/>
  <c r="C20" i="10"/>
  <c r="D7" i="13"/>
  <c r="C7" i="13" s="1"/>
  <c r="L247" i="1"/>
  <c r="H660" i="1" s="1"/>
  <c r="H664" i="1" s="1"/>
  <c r="H667" i="1" s="1"/>
  <c r="F552" i="1"/>
  <c r="H552" i="1"/>
  <c r="I169" i="1"/>
  <c r="G645" i="1"/>
  <c r="J645" i="1" s="1"/>
  <c r="H635" i="1"/>
  <c r="G625" i="1"/>
  <c r="L544" i="1"/>
  <c r="L524" i="1"/>
  <c r="L382" i="1"/>
  <c r="G636" i="1" s="1"/>
  <c r="J636" i="1" s="1"/>
  <c r="K338" i="1"/>
  <c r="K352" i="1" s="1"/>
  <c r="H257" i="1"/>
  <c r="H271" i="1" s="1"/>
  <c r="E143" i="2"/>
  <c r="D127" i="2"/>
  <c r="D128" i="2" s="1"/>
  <c r="C124" i="2"/>
  <c r="E131" i="2"/>
  <c r="E144" i="2" s="1"/>
  <c r="H661" i="1"/>
  <c r="C11" i="10"/>
  <c r="G112" i="1"/>
  <c r="C119" i="2"/>
  <c r="C29" i="10"/>
  <c r="I460" i="1"/>
  <c r="I446" i="1"/>
  <c r="G642" i="1" s="1"/>
  <c r="H25" i="13"/>
  <c r="C25" i="13" s="1"/>
  <c r="L529" i="1"/>
  <c r="J338" i="1"/>
  <c r="J352" i="1" s="1"/>
  <c r="C118" i="2"/>
  <c r="F663" i="1"/>
  <c r="I663" i="1" s="1"/>
  <c r="F661" i="1"/>
  <c r="I661" i="1" s="1"/>
  <c r="C19" i="10"/>
  <c r="D12" i="13"/>
  <c r="C12" i="13" s="1"/>
  <c r="D5" i="13"/>
  <c r="C5" i="13" s="1"/>
  <c r="G271" i="1"/>
  <c r="A31" i="12"/>
  <c r="A40" i="12"/>
  <c r="D18" i="13"/>
  <c r="C18" i="13" s="1"/>
  <c r="D15" i="13"/>
  <c r="C15" i="13" s="1"/>
  <c r="E13" i="13"/>
  <c r="C13" i="13" s="1"/>
  <c r="H663" i="1"/>
  <c r="K604" i="1"/>
  <c r="K605" i="1" s="1"/>
  <c r="G648" i="1" s="1"/>
  <c r="E8" i="13"/>
  <c r="C8" i="13" s="1"/>
  <c r="F257" i="1"/>
  <c r="F271" i="1" s="1"/>
  <c r="C91" i="2"/>
  <c r="C70" i="2"/>
  <c r="G156" i="2"/>
  <c r="C18" i="10"/>
  <c r="E16" i="13"/>
  <c r="C16" i="13" s="1"/>
  <c r="J257" i="1"/>
  <c r="J271" i="1" s="1"/>
  <c r="C115" i="2"/>
  <c r="E103" i="2"/>
  <c r="C78" i="2"/>
  <c r="D81" i="2"/>
  <c r="D62" i="2"/>
  <c r="D63" i="2" s="1"/>
  <c r="C18" i="2"/>
  <c r="F18" i="2"/>
  <c r="E78" i="2"/>
  <c r="E81" i="2" s="1"/>
  <c r="D18" i="2"/>
  <c r="D14" i="13"/>
  <c r="C14" i="13" s="1"/>
  <c r="C123" i="2"/>
  <c r="C121" i="2"/>
  <c r="G62" i="2"/>
  <c r="G63" i="2" s="1"/>
  <c r="D29" i="13"/>
  <c r="C29" i="13" s="1"/>
  <c r="D19" i="13"/>
  <c r="C19" i="13" s="1"/>
  <c r="G161" i="2"/>
  <c r="F78" i="2"/>
  <c r="F81" i="2" s="1"/>
  <c r="G157" i="2"/>
  <c r="E128" i="2"/>
  <c r="J649" i="1"/>
  <c r="K598" i="1"/>
  <c r="G647" i="1" s="1"/>
  <c r="J647" i="1" s="1"/>
  <c r="K503" i="1"/>
  <c r="G164" i="2"/>
  <c r="K500" i="1"/>
  <c r="C10" i="10"/>
  <c r="L290" i="1"/>
  <c r="D145" i="2"/>
  <c r="E31" i="2"/>
  <c r="G81" i="2"/>
  <c r="C62" i="2"/>
  <c r="C63" i="2" s="1"/>
  <c r="D31" i="2"/>
  <c r="G624" i="1"/>
  <c r="D50" i="2"/>
  <c r="H33" i="13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F31" i="2"/>
  <c r="C31" i="2"/>
  <c r="E18" i="2"/>
  <c r="F50" i="2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H193" i="1"/>
  <c r="G169" i="1"/>
  <c r="G140" i="1"/>
  <c r="F140" i="1"/>
  <c r="J618" i="1"/>
  <c r="G42" i="2"/>
  <c r="G50" i="2" s="1"/>
  <c r="J51" i="1"/>
  <c r="G16" i="2"/>
  <c r="G18" i="2" s="1"/>
  <c r="J19" i="1"/>
  <c r="G621" i="1" s="1"/>
  <c r="F545" i="1"/>
  <c r="H434" i="1"/>
  <c r="D103" i="2"/>
  <c r="I140" i="1"/>
  <c r="A22" i="12"/>
  <c r="J652" i="1"/>
  <c r="G571" i="1"/>
  <c r="I434" i="1"/>
  <c r="G434" i="1"/>
  <c r="C27" i="10"/>
  <c r="G635" i="1"/>
  <c r="C81" i="2" l="1"/>
  <c r="L257" i="1"/>
  <c r="L271" i="1" s="1"/>
  <c r="G632" i="1" s="1"/>
  <c r="F660" i="1"/>
  <c r="I660" i="1" s="1"/>
  <c r="I664" i="1" s="1"/>
  <c r="I672" i="1" s="1"/>
  <c r="C7" i="10" s="1"/>
  <c r="H648" i="1"/>
  <c r="J648" i="1" s="1"/>
  <c r="J635" i="1"/>
  <c r="G672" i="1"/>
  <c r="C5" i="10" s="1"/>
  <c r="F51" i="2"/>
  <c r="H646" i="1"/>
  <c r="I461" i="1"/>
  <c r="H642" i="1" s="1"/>
  <c r="J642" i="1" s="1"/>
  <c r="F51" i="1"/>
  <c r="C49" i="2"/>
  <c r="C50" i="2" s="1"/>
  <c r="I193" i="1"/>
  <c r="G630" i="1" s="1"/>
  <c r="J630" i="1" s="1"/>
  <c r="G629" i="1"/>
  <c r="H468" i="1"/>
  <c r="C39" i="10"/>
  <c r="C128" i="2"/>
  <c r="C145" i="2" s="1"/>
  <c r="F193" i="1"/>
  <c r="G646" i="1"/>
  <c r="J468" i="1"/>
  <c r="L545" i="1"/>
  <c r="D104" i="2"/>
  <c r="C104" i="2"/>
  <c r="E33" i="13"/>
  <c r="D35" i="13" s="1"/>
  <c r="E104" i="2"/>
  <c r="E145" i="2"/>
  <c r="D51" i="2"/>
  <c r="E51" i="2"/>
  <c r="F104" i="2"/>
  <c r="H672" i="1"/>
  <c r="C6" i="10" s="1"/>
  <c r="C28" i="10"/>
  <c r="D22" i="10" s="1"/>
  <c r="D31" i="13"/>
  <c r="C31" i="13" s="1"/>
  <c r="L338" i="1"/>
  <c r="L352" i="1" s="1"/>
  <c r="G51" i="2"/>
  <c r="G104" i="2"/>
  <c r="C51" i="2"/>
  <c r="G631" i="1"/>
  <c r="G193" i="1"/>
  <c r="G626" i="1"/>
  <c r="J52" i="1"/>
  <c r="H621" i="1" s="1"/>
  <c r="J621" i="1" s="1"/>
  <c r="C38" i="10"/>
  <c r="F472" i="1" l="1"/>
  <c r="F474" i="1" s="1"/>
  <c r="F664" i="1"/>
  <c r="F667" i="1" s="1"/>
  <c r="J646" i="1"/>
  <c r="G633" i="1"/>
  <c r="H472" i="1"/>
  <c r="H631" i="1"/>
  <c r="J631" i="1" s="1"/>
  <c r="J470" i="1"/>
  <c r="J476" i="1" s="1"/>
  <c r="H637" i="1"/>
  <c r="J637" i="1" s="1"/>
  <c r="D26" i="10"/>
  <c r="G628" i="1"/>
  <c r="G468" i="1"/>
  <c r="G627" i="1"/>
  <c r="F468" i="1"/>
  <c r="H629" i="1"/>
  <c r="J629" i="1" s="1"/>
  <c r="H470" i="1"/>
  <c r="G622" i="1"/>
  <c r="F52" i="1"/>
  <c r="H617" i="1" s="1"/>
  <c r="J617" i="1" s="1"/>
  <c r="D16" i="10"/>
  <c r="D27" i="10"/>
  <c r="D17" i="10"/>
  <c r="D19" i="10"/>
  <c r="D24" i="10"/>
  <c r="D20" i="10"/>
  <c r="C30" i="10"/>
  <c r="D18" i="10"/>
  <c r="D25" i="10"/>
  <c r="D10" i="10"/>
  <c r="D15" i="10"/>
  <c r="D12" i="10"/>
  <c r="D23" i="10"/>
  <c r="D13" i="10"/>
  <c r="D11" i="10"/>
  <c r="D21" i="10"/>
  <c r="D33" i="13"/>
  <c r="D36" i="13" s="1"/>
  <c r="I667" i="1"/>
  <c r="C41" i="10"/>
  <c r="D38" i="10" s="1"/>
  <c r="H632" i="1" l="1"/>
  <c r="J632" i="1" s="1"/>
  <c r="F672" i="1"/>
  <c r="C4" i="10" s="1"/>
  <c r="H626" i="1"/>
  <c r="J626" i="1" s="1"/>
  <c r="I474" i="1"/>
  <c r="I476" i="1" s="1"/>
  <c r="H625" i="1" s="1"/>
  <c r="J625" i="1" s="1"/>
  <c r="G470" i="1"/>
  <c r="G476" i="1" s="1"/>
  <c r="H623" i="1" s="1"/>
  <c r="J623" i="1" s="1"/>
  <c r="H628" i="1"/>
  <c r="J628" i="1" s="1"/>
  <c r="F470" i="1"/>
  <c r="F476" i="1" s="1"/>
  <c r="H622" i="1" s="1"/>
  <c r="J622" i="1" s="1"/>
  <c r="H627" i="1"/>
  <c r="J627" i="1" s="1"/>
  <c r="H633" i="1"/>
  <c r="J633" i="1" s="1"/>
  <c r="H474" i="1"/>
  <c r="H476" i="1" s="1"/>
  <c r="H624" i="1" s="1"/>
  <c r="J624" i="1" s="1"/>
  <c r="D28" i="10"/>
  <c r="D37" i="10"/>
  <c r="D36" i="10"/>
  <c r="D35" i="10"/>
  <c r="D40" i="10"/>
  <c r="D39" i="10"/>
  <c r="H656" i="1" l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<sst xmlns="http://schemas.openxmlformats.org/spreadsheetml/2006/main" count="3957" uniqueCount="915">
  <si>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</si>
  <si>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</si>
  <si>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</si>
  <si>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</si>
  <si>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</si>
  <si>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</si>
  <si>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</si>
  <si>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</si>
  <si>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</si>
  <si>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</si>
  <si>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</si>
  <si>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</si>
  <si>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</si>
  <si>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</si>
  <si>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</si>
  <si>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</si>
  <si>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</si>
  <si>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</si>
  <si>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</si>
  <si>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</si>
  <si>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</si>
  <si>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</si>
  <si>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</si>
  <si>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</si>
  <si>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</si>
  <si>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</si>
  <si>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</si>
  <si>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</si>
  <si>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</si>
  <si>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</si>
  <si>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</si>
  <si>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</si>
  <si>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</si>
  <si>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</si>
  <si>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</si>
  <si>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</si>
  <si>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</si>
  <si>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</si>
  <si>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</si>
  <si>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</si>
  <si>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</si>
  <si>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</si>
  <si>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</si>
  <si>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</si>
  <si>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</si>
  <si>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</si>
  <si>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</si>
  <si>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</si>
  <si>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</si>
  <si>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</si>
  <si>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</si>
  <si>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</si>
  <si>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</si>
  <si>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</si>
  <si>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</si>
  <si>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</si>
  <si>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</si>
  <si>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</si>
  <si>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</si>
  <si>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</si>
  <si>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</si>
  <si>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</si>
  <si>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</si>
  <si>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</si>
  <si>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</si>
  <si>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</si>
  <si>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</si>
  <si>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</si>
  <si>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</si>
  <si>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</si>
  <si>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</si>
  <si>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</si>
  <si>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</si>
  <si>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</si>
  <si>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</si>
  <si>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</si>
  <si>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</si>
  <si>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</si>
  <si>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</si>
  <si>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</si>
  <si>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</si>
  <si>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</si>
  <si>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</si>
  <si>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</si>
  <si>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</si>
  <si>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</si>
  <si>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</si>
  <si>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</si>
  <si>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</si>
  <si>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</si>
  <si>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</si>
  <si>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</si>
  <si>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</si>
  <si>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</si>
  <si>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</si>
  <si>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</si>
  <si>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</si>
  <si>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</si>
  <si>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</si>
  <si>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</si>
  <si>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</si>
  <si>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</si>
  <si>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</si>
  <si>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</si>
  <si>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</si>
  <si>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</si>
  <si>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</si>
  <si>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</si>
  <si>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</si>
  <si>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</si>
  <si>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</si>
  <si>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</si>
  <si>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</si>
  <si>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</si>
  <si>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</si>
  <si>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</si>
  <si>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</si>
  <si>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</si>
  <si>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</si>
  <si>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</si>
  <si>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</si>
  <si>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</si>
  <si>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</si>
  <si>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</si>
  <si>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</si>
  <si>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</si>
  <si>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</si>
  <si>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</si>
  <si>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</si>
  <si>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</si>
  <si>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</si>
  <si>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</si>
  <si>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</si>
  <si>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</si>
  <si>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</si>
  <si>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</si>
  <si>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</si>
  <si>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</si>
  <si>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</si>
  <si>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</si>
  <si>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</si>
  <si>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</si>
  <si>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</si>
  <si>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</si>
  <si>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</si>
  <si>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</si>
  <si>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</si>
  <si>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</si>
  <si>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</si>
  <si>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</si>
  <si>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</si>
  <si>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</si>
  <si>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</si>
  <si>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</si>
  <si>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</si>
  <si>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</si>
  <si>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</si>
  <si>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</si>
  <si>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</si>
  <si>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</si>
  <si>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</si>
  <si>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</si>
  <si>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</si>
  <si>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</si>
  <si>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</si>
  <si>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</si>
  <si>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</si>
  <si>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</si>
  <si>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</si>
  <si>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</si>
  <si>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</si>
  <si>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</si>
  <si>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</si>
  <si>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</si>
  <si>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</si>
  <si>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</si>
  <si>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</si>
  <si>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</si>
  <si>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</si>
  <si>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</si>
  <si>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</si>
  <si>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</si>
  <si>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</si>
  <si>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</si>
  <si>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</si>
  <si>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</si>
  <si>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</si>
  <si>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</si>
  <si>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</si>
  <si>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</si>
  <si>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</si>
  <si>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</si>
  <si>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</si>
  <si>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</si>
  <si>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</si>
  <si>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</si>
  <si>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</si>
  <si>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</si>
  <si>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</si>
  <si>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</si>
  <si>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</si>
  <si>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</si>
  <si>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</si>
  <si>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</si>
  <si>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</si>
  <si>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</si>
  <si>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</si>
  <si>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</si>
  <si>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</si>
  <si>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</si>
  <si>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</si>
  <si>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</si>
  <si>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</si>
  <si>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</si>
  <si>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</si>
  <si>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</si>
  <si>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</si>
  <si>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</si>
  <si>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</si>
  <si>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</si>
  <si>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</si>
  <si>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</si>
  <si>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</si>
  <si>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</si>
  <si>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</si>
  <si>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</si>
  <si>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</si>
  <si>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</si>
  <si>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</si>
  <si>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</si>
  <si>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</si>
  <si>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</si>
  <si>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</si>
  <si>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</si>
  <si>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</si>
  <si>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</si>
  <si>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</si>
  <si>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</si>
  <si>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</si>
  <si>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</si>
  <si>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</si>
  <si>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</si>
  <si>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</si>
  <si>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</si>
  <si>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</si>
  <si>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</si>
  <si>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</si>
  <si>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</si>
  <si>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</si>
  <si>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</si>
  <si>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</si>
  <si>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</si>
  <si>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</si>
  <si>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</si>
  <si>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</si>
  <si>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</si>
  <si>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</si>
  <si>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</si>
  <si>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</si>
  <si>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</si>
  <si>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</si>
  <si>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</si>
  <si>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</si>
  <si>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</si>
  <si>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</si>
  <si>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</si>
  <si>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</si>
  <si>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</si>
  <si>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</si>
  <si>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</si>
  <si>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</si>
  <si>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</si>
  <si>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</si>
  <si>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</si>
  <si>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</si>
  <si>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</si>
  <si>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</si>
  <si>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</si>
  <si>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</si>
  <si>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</si>
  <si>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</si>
  <si>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</si>
  <si>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</si>
  <si>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</si>
  <si>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</si>
  <si>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</si>
  <si>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</si>
  <si>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</si>
  <si>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</si>
  <si>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</si>
  <si>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</si>
  <si>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</si>
  <si>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</si>
  <si>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</si>
  <si>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</si>
  <si>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</si>
  <si>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</si>
  <si>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</si>
  <si>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</si>
  <si>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</si>
  <si>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</si>
  <si>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</si>
  <si>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</si>
  <si>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</si>
  <si>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</si>
  <si>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</si>
  <si>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</si>
  <si>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</si>
  <si>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</si>
  <si>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</si>
  <si>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</si>
  <si>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</si>
  <si>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</si>
  <si>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</si>
  <si>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</si>
  <si>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</si>
  <si>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</si>
  <si>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</si>
  <si>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</si>
  <si>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</si>
  <si>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</si>
  <si>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</si>
  <si>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</si>
  <si>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</si>
  <si>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</si>
  <si>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</si>
  <si>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</si>
  <si>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</si>
  <si>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</si>
  <si>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</si>
  <si>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</si>
  <si>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</si>
  <si>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</si>
  <si>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</si>
  <si>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</si>
  <si>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</si>
  <si>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</si>
  <si>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</si>
  <si>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</si>
  <si>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</si>
  <si>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</si>
  <si>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</si>
  <si>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</si>
  <si>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</si>
  <si>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</si>
  <si>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</si>
  <si>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</si>
  <si>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</si>
  <si>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</si>
  <si>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</si>
  <si>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</si>
  <si>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</si>
  <si>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</si>
  <si>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</si>
  <si>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</si>
  <si>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</si>
  <si>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</si>
  <si>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</si>
  <si>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</si>
  <si>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</si>
  <si>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</si>
  <si>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</si>
  <si>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</si>
  <si>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</si>
  <si>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</si>
  <si>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</si>
  <si>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</si>
  <si>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</si>
  <si>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</si>
  <si>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</si>
  <si>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</si>
  <si>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</si>
  <si>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</si>
  <si>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</si>
  <si>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</si>
  <si>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</si>
  <si>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</si>
  <si>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</si>
  <si>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</si>
  <si>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</si>
  <si>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</si>
  <si>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</si>
  <si>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</si>
  <si>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</si>
  <si>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</si>
  <si>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</si>
  <si>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</si>
  <si>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</si>
  <si>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</si>
  <si>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</si>
  <si>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</si>
  <si>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</si>
  <si>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</si>
  <si>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</si>
  <si>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</si>
  <si>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</si>
  <si>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</si>
  <si>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</si>
  <si>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</si>
  <si>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</si>
  <si>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</si>
  <si>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</si>
  <si>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</si>
  <si>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</si>
  <si>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</si>
  <si>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</si>
  <si>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</si>
  <si>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</si>
  <si>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</si>
  <si>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</si>
  <si>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</si>
  <si>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</si>
  <si>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</si>
  <si>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</si>
  <si>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</si>
  <si>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</si>
  <si>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</si>
  <si>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</si>
  <si>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</si>
  <si>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</si>
  <si>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</si>
  <si>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</si>
  <si>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</si>
  <si>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</si>
  <si>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</si>
  <si>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</si>
  <si>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</si>
  <si>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</si>
  <si>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</si>
  <si>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</si>
  <si>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</si>
  <si>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</si>
  <si>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</si>
  <si>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</si>
  <si>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</si>
  <si>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</si>
  <si>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</si>
  <si>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</si>
  <si>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</si>
  <si>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</si>
  <si>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</si>
  <si>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</si>
  <si>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</si>
  <si>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</si>
  <si>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</si>
  <si>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</si>
  <si>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</si>
  <si>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</si>
  <si>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</si>
  <si>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</si>
  <si>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</si>
  <si>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</si>
  <si>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</si>
  <si>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</si>
  <si>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</si>
  <si>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</si>
  <si>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</si>
  <si>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</si>
  <si>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</si>
  <si>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</si>
  <si>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</si>
  <si>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</si>
  <si>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</si>
  <si>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</si>
  <si>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</si>
  <si>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</si>
  <si>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</si>
  <si>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</si>
  <si>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</si>
  <si>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</si>
  <si>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</si>
  <si>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</si>
  <si>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</si>
  <si>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</si>
  <si>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</si>
  <si>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</si>
  <si>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</si>
  <si>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</si>
  <si>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</si>
  <si>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</si>
  <si>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</si>
  <si>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</si>
  <si>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</si>
  <si>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</si>
  <si>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</si>
  <si>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</si>
  <si>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</si>
  <si>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</si>
  <si>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</si>
  <si>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</si>
  <si>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</si>
  <si>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</si>
  <si>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</si>
  <si>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</si>
  <si>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</si>
  <si>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</si>
  <si>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</si>
  <si>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</si>
  <si>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</si>
  <si>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</si>
  <si>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</si>
  <si>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</si>
  <si>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</si>
  <si>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</si>
  <si>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</si>
  <si>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</si>
  <si>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</si>
  <si>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</si>
  <si>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</si>
  <si>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</si>
  <si>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</si>
  <si>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</si>
  <si>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</si>
  <si>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</si>
  <si>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</si>
  <si>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</si>
  <si>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</si>
  <si>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</si>
  <si>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</si>
  <si>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</si>
  <si>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</si>
  <si>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</si>
  <si>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</si>
  <si>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</si>
  <si>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</si>
  <si>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</si>
  <si>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</si>
  <si>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</si>
  <si>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</si>
  <si>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</si>
  <si>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</si>
  <si>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</si>
  <si>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</si>
  <si>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</si>
  <si>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</si>
  <si>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</si>
  <si>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</si>
  <si>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</si>
  <si>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</si>
  <si>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</si>
  <si>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</si>
  <si>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</si>
  <si>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</si>
  <si>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</si>
  <si>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</si>
  <si>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</si>
  <si>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</si>
  <si>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</si>
  <si>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</si>
  <si>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</si>
  <si>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</si>
  <si>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</si>
  <si>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</si>
  <si>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</si>
  <si>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</si>
  <si>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</si>
  <si>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</si>
  <si>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</si>
  <si>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</si>
  <si>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</si>
  <si>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</si>
  <si>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</si>
  <si>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</si>
  <si>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</si>
  <si>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</si>
  <si>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</si>
  <si>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</si>
  <si>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</si>
  <si>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</si>
  <si>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</si>
  <si>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</si>
  <si>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</si>
  <si>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</si>
  <si>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</si>
  <si>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</si>
  <si>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</si>
  <si>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</si>
  <si>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</si>
  <si>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</si>
  <si>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</si>
  <si>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</si>
  <si>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</si>
  <si>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</si>
  <si>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</si>
  <si>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</si>
  <si>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</si>
  <si>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</si>
  <si>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</si>
  <si>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</si>
  <si>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</si>
  <si>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</si>
  <si>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</si>
  <si>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</si>
  <si>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</si>
  <si>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</si>
  <si>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</si>
  <si>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</si>
  <si>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</si>
  <si>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</si>
  <si>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</si>
  <si>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</si>
  <si>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</si>
  <si>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</si>
  <si>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</si>
  <si>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</si>
  <si>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</si>
  <si>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</si>
  <si>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</si>
  <si>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</si>
  <si>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</si>
  <si>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</si>
  <si>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</si>
  <si>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</si>
  <si>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</si>
  <si>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</si>
  <si>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</si>
  <si>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</si>
  <si>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</si>
  <si>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</si>
  <si>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</si>
  <si>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</si>
  <si>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</si>
  <si>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</si>
  <si>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</si>
  <si>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</si>
  <si>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</si>
  <si>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</si>
  <si>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</si>
  <si>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</si>
  <si>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</si>
  <si>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</si>
  <si>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</si>
  <si>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</si>
  <si>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</si>
  <si>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</si>
  <si>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</si>
  <si>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</si>
  <si>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</si>
  <si>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</si>
  <si>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</si>
  <si>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</si>
  <si>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</si>
  <si>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</si>
  <si>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</si>
  <si>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</si>
  <si>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</si>
  <si>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</si>
  <si>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</si>
  <si>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</si>
  <si>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</si>
  <si>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</si>
  <si>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</si>
  <si>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</si>
  <si>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</si>
  <si>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</si>
  <si>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</si>
  <si>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</si>
  <si>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</si>
  <si>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</si>
  <si>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</si>
  <si>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</si>
  <si>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</si>
  <si>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</si>
  <si>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</si>
  <si>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</si>
  <si>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</si>
  <si>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</si>
  <si>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</si>
  <si>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</si>
  <si>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</si>
  <si>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</si>
  <si>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</si>
  <si>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</si>
  <si>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</si>
  <si>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</si>
  <si>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</si>
  <si>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</si>
  <si>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</si>
  <si>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</si>
  <si>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</si>
  <si>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</si>
  <si>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</si>
  <si>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</si>
  <si>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</si>
  <si>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</si>
  <si>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</si>
  <si>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</si>
  <si>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</si>
  <si>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</si>
  <si>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</si>
  <si>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</si>
  <si>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</si>
  <si>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</si>
  <si>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</si>
  <si>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</si>
  <si>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</si>
  <si>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</si>
  <si>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</si>
  <si>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</si>
  <si>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</si>
  <si>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</si>
  <si>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</si>
  <si>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</si>
  <si>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</si>
  <si>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</si>
  <si>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</si>
  <si>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</si>
  <si>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</si>
  <si>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</si>
  <si>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</si>
  <si>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</si>
  <si>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</si>
  <si>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</si>
  <si>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</si>
  <si>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</si>
  <si>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</si>
  <si>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</si>
  <si>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</si>
  <si>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</si>
  <si>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</si>
  <si>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</si>
  <si>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</si>
  <si>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</si>
  <si>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</si>
  <si>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</si>
  <si>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</si>
  <si>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</si>
  <si>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</si>
  <si>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</si>
  <si>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</si>
  <si>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</si>
  <si>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</si>
  <si>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</si>
  <si>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</si>
  <si>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</si>
  <si>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</si>
  <si>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</si>
  <si>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</si>
  <si>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</si>
  <si>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</si>
  <si>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</si>
  <si>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</si>
  <si>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</si>
  <si>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</si>
  <si>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</si>
  <si>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</si>
  <si>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</si>
  <si>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</si>
  <si>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</si>
  <si>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</si>
  <si>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</si>
  <si>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</si>
  <si>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</si>
  <si>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</si>
  <si>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</si>
  <si>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</si>
  <si>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</si>
  <si>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</si>
  <si>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</si>
  <si>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</si>
  <si>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</si>
  <si>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</si>
  <si>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</si>
  <si>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</si>
  <si>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</si>
  <si>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</si>
  <si>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</si>
  <si>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</si>
  <si>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</si>
  <si>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</si>
  <si>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</si>
  <si>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</si>
  <si>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</si>
  <si>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</si>
  <si>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</si>
  <si>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</si>
  <si>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</si>
  <si>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</si>
  <si>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</si>
  <si>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</si>
  <si>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</si>
  <si>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</si>
  <si>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</si>
  <si>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</si>
  <si>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</si>
  <si>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</si>
  <si>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</si>
  <si>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</si>
  <si>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</si>
  <si>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</si>
  <si>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</si>
  <si>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</si>
  <si>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</si>
  <si>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</si>
  <si>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</si>
  <si>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</si>
  <si>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</si>
  <si>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</si>
  <si>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</si>
  <si>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</si>
  <si>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</si>
  <si>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</si>
  <si>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</si>
  <si>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</si>
  <si>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</si>
  <si>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</si>
  <si>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</si>
  <si>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</si>
  <si>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</si>
  <si>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</si>
  <si>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</si>
  <si>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</si>
  <si>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</si>
  <si>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</si>
  <si>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</si>
  <si>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</si>
  <si>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</si>
  <si>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</si>
  <si>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</si>
  <si>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</si>
  <si>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</si>
  <si>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</si>
  <si>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</si>
  <si>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</si>
  <si>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</si>
  <si>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</si>
  <si>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</si>
  <si>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</si>
  <si>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</si>
  <si>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</si>
  <si>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</si>
  <si>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</si>
  <si>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</si>
  <si>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</si>
  <si>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</si>
  <si>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</si>
  <si>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</si>
  <si>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</si>
  <si>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</si>
  <si>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</si>
  <si>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</si>
  <si>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</si>
  <si>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</si>
  <si>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</si>
  <si>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</si>
  <si>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</si>
  <si>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</si>
  <si>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</si>
  <si>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</si>
  <si>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</si>
  <si>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</si>
  <si>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</si>
  <si>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</si>
  <si>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</si>
  <si>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</si>
  <si>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</si>
  <si>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</si>
  <si>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</si>
  <si>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</si>
  <si>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</si>
  <si>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</si>
  <si>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</si>
  <si>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</si>
  <si>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</si>
  <si>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</si>
  <si>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</si>
  <si>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</si>
  <si>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</si>
  <si>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</si>
  <si>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</si>
  <si>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</si>
  <si>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</si>
  <si>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</si>
  <si>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</si>
  <si>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</si>
  <si>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</si>
  <si>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</si>
  <si>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</si>
  <si>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</si>
  <si>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</si>
  <si>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</si>
  <si>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</si>
  <si>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</si>
  <si>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</si>
  <si>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</si>
  <si>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</si>
  <si>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</si>
  <si>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</si>
  <si>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</si>
  <si>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</si>
  <si>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</si>
  <si>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</si>
  <si>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</si>
  <si>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</si>
  <si>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</si>
  <si>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</si>
  <si>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</si>
  <si>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</si>
  <si>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</si>
  <si>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</si>
  <si>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</si>
  <si>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</si>
  <si>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</si>
  <si>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</si>
  <si>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</si>
  <si>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</si>
  <si>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</si>
  <si>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</si>
  <si>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</si>
  <si>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</si>
  <si>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</si>
  <si>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WASHINGTON</t>
  </si>
  <si>
    <t>08/01</t>
  </si>
  <si>
    <t>0/16</t>
  </si>
  <si>
    <t xml:space="preserve">Refund of Prior Yr - LGC Rebate = $ 7,098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</si>
</sst>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80" zoomScaleNormal="80" workbookViewId="0">
      <pane xSplit="5" ySplit="3" topLeftCell="F604" activePane="bottomRight" state="frozen"/>
      <selection pane="topRight" activeCell="F1" sqref="F1"/>
      <selection pane="bottomLeft" activeCell="A4" sqref="A4"/>
      <selection pane="bottomRight" activeCell="F51" sqref="F5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551</v>
      </c>
      <c r="C2" s="21">
        <v>551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131056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216820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6851</v>
      </c>
      <c r="G12" s="18">
        <v>5474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1587</v>
      </c>
      <c r="H13" s="18">
        <f>15087</f>
        <v>15087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137907</v>
      </c>
      <c r="G19" s="41">
        <f>SUM(G9:G18)</f>
        <v>7061</v>
      </c>
      <c r="H19" s="41">
        <f>SUM(H9:H18)</f>
        <v>15087</v>
      </c>
      <c r="I19" s="41">
        <f>SUM(I9:I18)</f>
        <v>0</v>
      </c>
      <c r="J19" s="41">
        <f>SUM(J9:J18)</f>
        <v>216820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f>12326+2761+92</f>
        <v>15179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>
        <v>1750</v>
      </c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3716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>
        <v>0</v>
      </c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3716</v>
      </c>
      <c r="G32" s="41">
        <f>SUM(G22:G31)</f>
        <v>1750</v>
      </c>
      <c r="H32" s="41">
        <f>SUM(H22:H31)</f>
        <v>15179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20000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20000</v>
      </c>
      <c r="G48" s="18">
        <v>5311</v>
      </c>
      <c r="H48" s="18">
        <v>-92</v>
      </c>
      <c r="I48" s="18"/>
      <c r="J48" s="13">
        <f>SUM(I459)</f>
        <v>216820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8700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85491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134191</v>
      </c>
      <c r="G51" s="41">
        <f>SUM(G35:G50)</f>
        <v>5311</v>
      </c>
      <c r="H51" s="41">
        <f>SUM(H35:H50)</f>
        <v>-92</v>
      </c>
      <c r="I51" s="41">
        <f>SUM(I35:I50)</f>
        <v>0</v>
      </c>
      <c r="J51" s="41">
        <f>SUM(J35:J50)</f>
        <v>216820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137907</v>
      </c>
      <c r="G52" s="41">
        <f>G51+G32</f>
        <v>7061</v>
      </c>
      <c r="H52" s="41">
        <f>H51+H32</f>
        <v>15087</v>
      </c>
      <c r="I52" s="41">
        <f>I51+I32</f>
        <v>0</v>
      </c>
      <c r="J52" s="41">
        <f>J51+J32</f>
        <v>216820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1578104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1578104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35362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>
        <v>0</v>
      </c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35362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/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/>
      <c r="H96" s="18"/>
      <c r="I96" s="18"/>
      <c r="J96" s="18">
        <f>9779+3421-8441-2777</f>
        <v>1982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6522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7098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/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7098</v>
      </c>
      <c r="G111" s="41">
        <f>SUM(G96:G110)</f>
        <v>6522</v>
      </c>
      <c r="H111" s="41">
        <f>SUM(H96:H110)</f>
        <v>0</v>
      </c>
      <c r="I111" s="41">
        <f>SUM(I96:I110)</f>
        <v>0</v>
      </c>
      <c r="J111" s="41">
        <f>SUM(J96:J110)</f>
        <v>1982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1620564</v>
      </c>
      <c r="G112" s="41">
        <f>G60+G111</f>
        <v>6522</v>
      </c>
      <c r="H112" s="41">
        <f>H60+H79+H94+H111</f>
        <v>0</v>
      </c>
      <c r="I112" s="41">
        <f>I60+I111</f>
        <v>0</v>
      </c>
      <c r="J112" s="41">
        <f>J60+J111</f>
        <v>1982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54627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574370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628997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18421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294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18421</v>
      </c>
      <c r="G136" s="41">
        <f>SUM(G123:G135)</f>
        <v>294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647418</v>
      </c>
      <c r="G140" s="41">
        <f>G121+SUM(G136:G137)</f>
        <v>294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2454+17024+2913</f>
        <v>22391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7719+1665+16699</f>
        <v>26083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13536-1057</f>
        <v>12479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10176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10176</v>
      </c>
      <c r="G162" s="41">
        <f>SUM(G150:G161)</f>
        <v>12479</v>
      </c>
      <c r="H162" s="41">
        <f>SUM(H150:H161)</f>
        <v>48474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10176</v>
      </c>
      <c r="G169" s="41">
        <f>G147+G162+SUM(G163:G168)</f>
        <v>12479</v>
      </c>
      <c r="H169" s="41">
        <f>H147+H162+SUM(H163:H168)</f>
        <v>48474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9000</v>
      </c>
      <c r="H179" s="18"/>
      <c r="I179" s="18"/>
      <c r="J179" s="18">
        <v>20000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9000</v>
      </c>
      <c r="H183" s="41">
        <f>SUM(H179:H182)</f>
        <v>0</v>
      </c>
      <c r="I183" s="41">
        <f>SUM(I179:I182)</f>
        <v>0</v>
      </c>
      <c r="J183" s="41">
        <f>SUM(J179:J182)</f>
        <v>20000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9000</v>
      </c>
      <c r="H192" s="41">
        <f>+H183+SUM(H188:H191)</f>
        <v>0</v>
      </c>
      <c r="I192" s="41">
        <f>I177+I183+SUM(I188:I191)</f>
        <v>0</v>
      </c>
      <c r="J192" s="41">
        <f>J183</f>
        <v>20000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2278158</v>
      </c>
      <c r="G193" s="47">
        <f>G112+G140+G169+G192</f>
        <v>28295</v>
      </c>
      <c r="H193" s="47">
        <f>H112+H140+H169+H192</f>
        <v>48474</v>
      </c>
      <c r="I193" s="47">
        <f>I112+I140+I169+I192</f>
        <v>0</v>
      </c>
      <c r="J193" s="47">
        <f>J112+J140+J192</f>
        <v>21982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233853</v>
      </c>
      <c r="G197" s="18">
        <f>67232+7098</f>
        <v>74330</v>
      </c>
      <c r="H197" s="18">
        <v>12402</v>
      </c>
      <c r="I197" s="18">
        <v>10760</v>
      </c>
      <c r="J197" s="18">
        <v>2495</v>
      </c>
      <c r="K197" s="18">
        <v>714</v>
      </c>
      <c r="L197" s="19">
        <f>SUM(F197:K197)</f>
        <v>334554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69519</v>
      </c>
      <c r="G198" s="18">
        <v>13104</v>
      </c>
      <c r="H198" s="18">
        <v>176</v>
      </c>
      <c r="I198" s="18">
        <v>469</v>
      </c>
      <c r="J198" s="18">
        <v>0</v>
      </c>
      <c r="K198" s="18">
        <v>0</v>
      </c>
      <c r="L198" s="19">
        <f>SUM(F198:K198)</f>
        <v>83268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24711</v>
      </c>
      <c r="G202" s="18">
        <v>1458</v>
      </c>
      <c r="H202" s="18">
        <v>12033</v>
      </c>
      <c r="I202" s="18">
        <v>901</v>
      </c>
      <c r="J202" s="18">
        <v>0</v>
      </c>
      <c r="K202" s="18">
        <v>0</v>
      </c>
      <c r="L202" s="19">
        <f t="shared" ref="L202:L208" si="0">SUM(F202:K202)</f>
        <v>39103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1500</v>
      </c>
      <c r="G203" s="18">
        <v>6516</v>
      </c>
      <c r="H203" s="18"/>
      <c r="I203" s="18">
        <v>1069</v>
      </c>
      <c r="J203" s="18"/>
      <c r="K203" s="18"/>
      <c r="L203" s="19">
        <f t="shared" si="0"/>
        <v>9085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1109</v>
      </c>
      <c r="G204" s="18">
        <v>1863</v>
      </c>
      <c r="H204" s="18">
        <f>55391-7000</f>
        <v>48391</v>
      </c>
      <c r="I204" s="18">
        <v>173</v>
      </c>
      <c r="J204" s="18"/>
      <c r="K204" s="18">
        <v>1975</v>
      </c>
      <c r="L204" s="19">
        <f t="shared" si="0"/>
        <v>53511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73705</v>
      </c>
      <c r="G205" s="18">
        <v>6549</v>
      </c>
      <c r="H205" s="18"/>
      <c r="I205" s="18">
        <v>900</v>
      </c>
      <c r="J205" s="18"/>
      <c r="K205" s="18"/>
      <c r="L205" s="19">
        <f t="shared" si="0"/>
        <v>81154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41987</v>
      </c>
      <c r="G207" s="18">
        <v>7287</v>
      </c>
      <c r="H207" s="18">
        <v>20310</v>
      </c>
      <c r="I207" s="18">
        <v>35369</v>
      </c>
      <c r="J207" s="18">
        <v>7620</v>
      </c>
      <c r="K207" s="18"/>
      <c r="L207" s="19">
        <f t="shared" si="0"/>
        <v>112573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50127</v>
      </c>
      <c r="I208" s="18"/>
      <c r="J208" s="18"/>
      <c r="K208" s="18"/>
      <c r="L208" s="19">
        <f t="shared" si="0"/>
        <v>50127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446384</v>
      </c>
      <c r="G211" s="41">
        <f t="shared" si="1"/>
        <v>111107</v>
      </c>
      <c r="H211" s="41">
        <f t="shared" si="1"/>
        <v>143439</v>
      </c>
      <c r="I211" s="41">
        <f t="shared" si="1"/>
        <v>49641</v>
      </c>
      <c r="J211" s="41">
        <f t="shared" si="1"/>
        <v>10115</v>
      </c>
      <c r="K211" s="41">
        <f t="shared" si="1"/>
        <v>2689</v>
      </c>
      <c r="L211" s="41">
        <f t="shared" si="1"/>
        <v>763375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>
        <v>541697</v>
      </c>
      <c r="I215" s="18"/>
      <c r="J215" s="18"/>
      <c r="K215" s="18"/>
      <c r="L215" s="19">
        <f>SUM(F215:K215)</f>
        <v>541697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831</v>
      </c>
      <c r="G222" s="18">
        <v>1397</v>
      </c>
      <c r="H222" s="18">
        <f>41543+3500</f>
        <v>45043</v>
      </c>
      <c r="I222" s="18">
        <v>130</v>
      </c>
      <c r="J222" s="18"/>
      <c r="K222" s="18">
        <v>1481</v>
      </c>
      <c r="L222" s="19">
        <f t="shared" si="2"/>
        <v>48882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23786</v>
      </c>
      <c r="I226" s="18"/>
      <c r="J226" s="18"/>
      <c r="K226" s="18"/>
      <c r="L226" s="19">
        <f t="shared" si="2"/>
        <v>23786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4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831</v>
      </c>
      <c r="G229" s="41">
        <f>SUM(G215:G228)</f>
        <v>1397</v>
      </c>
      <c r="H229" s="41">
        <f>SUM(H215:H228)</f>
        <v>610526</v>
      </c>
      <c r="I229" s="41">
        <f>SUM(I215:I228)</f>
        <v>130</v>
      </c>
      <c r="J229" s="41">
        <f>SUM(J215:J228)</f>
        <v>0</v>
      </c>
      <c r="K229" s="41">
        <f t="shared" si="3"/>
        <v>1481</v>
      </c>
      <c r="L229" s="41">
        <f t="shared" si="3"/>
        <v>614365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810528</v>
      </c>
      <c r="I233" s="18"/>
      <c r="J233" s="18"/>
      <c r="K233" s="18"/>
      <c r="L233" s="19">
        <f>SUM(F233:K233)</f>
        <v>810528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1310</v>
      </c>
      <c r="G240" s="18">
        <v>2201</v>
      </c>
      <c r="H240" s="18">
        <f>65462+3500</f>
        <v>68962</v>
      </c>
      <c r="I240" s="18">
        <v>204</v>
      </c>
      <c r="J240" s="18">
        <v>0</v>
      </c>
      <c r="K240" s="18">
        <v>2334</v>
      </c>
      <c r="L240" s="19">
        <f t="shared" si="4"/>
        <v>75011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23786</v>
      </c>
      <c r="I244" s="18"/>
      <c r="J244" s="18"/>
      <c r="K244" s="18"/>
      <c r="L244" s="19">
        <f t="shared" si="4"/>
        <v>23786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4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1310</v>
      </c>
      <c r="G247" s="41">
        <f t="shared" si="5"/>
        <v>2201</v>
      </c>
      <c r="H247" s="41">
        <f t="shared" si="5"/>
        <v>903276</v>
      </c>
      <c r="I247" s="41">
        <f t="shared" si="5"/>
        <v>204</v>
      </c>
      <c r="J247" s="41">
        <f t="shared" si="5"/>
        <v>0</v>
      </c>
      <c r="K247" s="41">
        <f t="shared" si="5"/>
        <v>2334</v>
      </c>
      <c r="L247" s="41">
        <f t="shared" si="5"/>
        <v>909325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448525</v>
      </c>
      <c r="G257" s="41">
        <f t="shared" si="8"/>
        <v>114705</v>
      </c>
      <c r="H257" s="41">
        <f t="shared" si="8"/>
        <v>1657241</v>
      </c>
      <c r="I257" s="41">
        <f t="shared" si="8"/>
        <v>49975</v>
      </c>
      <c r="J257" s="41">
        <f t="shared" si="8"/>
        <v>10115</v>
      </c>
      <c r="K257" s="41">
        <f t="shared" si="8"/>
        <v>6504</v>
      </c>
      <c r="L257" s="41">
        <f t="shared" si="8"/>
        <v>2287065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70000</v>
      </c>
      <c r="L260" s="19">
        <f>SUM(F260:K260)</f>
        <v>70000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8539</v>
      </c>
      <c r="L261" s="19">
        <f>SUM(F261:K261)</f>
        <v>8539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9000</v>
      </c>
      <c r="L263" s="19">
        <f>SUM(F263:K263)</f>
        <v>9000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20000</v>
      </c>
      <c r="L266" s="19">
        <f t="shared" si="9"/>
        <v>20000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107539</v>
      </c>
      <c r="L270" s="41">
        <f t="shared" si="9"/>
        <v>107539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448525</v>
      </c>
      <c r="G271" s="42">
        <f t="shared" si="11"/>
        <v>114705</v>
      </c>
      <c r="H271" s="42">
        <f t="shared" si="11"/>
        <v>1657241</v>
      </c>
      <c r="I271" s="42">
        <f t="shared" si="11"/>
        <v>49975</v>
      </c>
      <c r="J271" s="42">
        <f t="shared" si="11"/>
        <v>10115</v>
      </c>
      <c r="K271" s="42">
        <f t="shared" si="11"/>
        <v>114043</v>
      </c>
      <c r="L271" s="42">
        <f t="shared" si="11"/>
        <v>2394604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16868</v>
      </c>
      <c r="G276" s="18">
        <v>818</v>
      </c>
      <c r="H276" s="18">
        <v>21226</v>
      </c>
      <c r="I276" s="18">
        <v>9654</v>
      </c>
      <c r="J276" s="18"/>
      <c r="K276" s="18"/>
      <c r="L276" s="19">
        <f>SUM(F276:K276)</f>
        <v>48566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16868</v>
      </c>
      <c r="G290" s="42">
        <f t="shared" si="13"/>
        <v>818</v>
      </c>
      <c r="H290" s="42">
        <f t="shared" si="13"/>
        <v>21226</v>
      </c>
      <c r="I290" s="42">
        <f t="shared" si="13"/>
        <v>9654</v>
      </c>
      <c r="J290" s="42">
        <f t="shared" si="13"/>
        <v>0</v>
      </c>
      <c r="K290" s="42">
        <f t="shared" si="13"/>
        <v>0</v>
      </c>
      <c r="L290" s="41">
        <f t="shared" si="13"/>
        <v>48566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16868</v>
      </c>
      <c r="G338" s="41">
        <f t="shared" si="20"/>
        <v>818</v>
      </c>
      <c r="H338" s="41">
        <f t="shared" si="20"/>
        <v>21226</v>
      </c>
      <c r="I338" s="41">
        <f t="shared" si="20"/>
        <v>9654</v>
      </c>
      <c r="J338" s="41">
        <f t="shared" si="20"/>
        <v>0</v>
      </c>
      <c r="K338" s="41">
        <f t="shared" si="20"/>
        <v>0</v>
      </c>
      <c r="L338" s="41">
        <f t="shared" si="20"/>
        <v>48566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16868</v>
      </c>
      <c r="G352" s="41">
        <f>G338</f>
        <v>818</v>
      </c>
      <c r="H352" s="41">
        <f>H338</f>
        <v>21226</v>
      </c>
      <c r="I352" s="41">
        <f>I338</f>
        <v>9654</v>
      </c>
      <c r="J352" s="41">
        <f>J338</f>
        <v>0</v>
      </c>
      <c r="K352" s="47">
        <f>K338+K351</f>
        <v>0</v>
      </c>
      <c r="L352" s="41">
        <f>L338+L351</f>
        <v>48566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16451</v>
      </c>
      <c r="G358" s="18">
        <v>1259</v>
      </c>
      <c r="H358" s="18">
        <v>0</v>
      </c>
      <c r="I358" s="18">
        <v>12952</v>
      </c>
      <c r="J358" s="18"/>
      <c r="K358" s="18"/>
      <c r="L358" s="13">
        <f>SUM(F358:K358)</f>
        <v>30662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16451</v>
      </c>
      <c r="G362" s="47">
        <f t="shared" si="22"/>
        <v>1259</v>
      </c>
      <c r="H362" s="47">
        <f t="shared" si="22"/>
        <v>0</v>
      </c>
      <c r="I362" s="47">
        <f t="shared" si="22"/>
        <v>12952</v>
      </c>
      <c r="J362" s="47">
        <f t="shared" si="22"/>
        <v>0</v>
      </c>
      <c r="K362" s="47">
        <f t="shared" si="22"/>
        <v>0</v>
      </c>
      <c r="L362" s="47">
        <f t="shared" si="22"/>
        <v>30662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thickBot="1" x14ac:dyDescent="0.2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63">
        <v>12952</v>
      </c>
      <c r="G367" s="18"/>
      <c r="H367" s="18"/>
      <c r="I367" s="56">
        <f>SUM(F367:H367)</f>
        <v>12952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Top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4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SUM(F367:F367)</f>
        <v>12952</v>
      </c>
      <c r="G369" s="47">
        <f>SUM(G367:G368)</f>
        <v>0</v>
      </c>
      <c r="H369" s="47">
        <f>SUM(H367:H368)</f>
        <v>0</v>
      </c>
      <c r="I369" s="47">
        <f>SUM(I367:I368)</f>
        <v>12952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10000</v>
      </c>
      <c r="H397" s="18">
        <f>9779-8441</f>
        <v>1338</v>
      </c>
      <c r="I397" s="18"/>
      <c r="J397" s="24" t="s">
        <v>289</v>
      </c>
      <c r="K397" s="24" t="s">
        <v>289</v>
      </c>
      <c r="L397" s="56">
        <f t="shared" si="26"/>
        <v>11338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>
        <v>10000</v>
      </c>
      <c r="H398" s="18">
        <f>3421-2777</f>
        <v>644</v>
      </c>
      <c r="I398" s="18"/>
      <c r="J398" s="24" t="s">
        <v>289</v>
      </c>
      <c r="K398" s="24" t="s">
        <v>289</v>
      </c>
      <c r="L398" s="56">
        <f t="shared" si="26"/>
        <v>10644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20000</v>
      </c>
      <c r="H401" s="47">
        <f>SUM(H395:H400)</f>
        <v>1982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21982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20000</v>
      </c>
      <c r="H408" s="47">
        <f>H393+H401+H407</f>
        <v>1982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21982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f>196820+20000</f>
        <v>216820</v>
      </c>
      <c r="H440" s="18"/>
      <c r="I440" s="56">
        <f t="shared" si="33"/>
        <v>216820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216820</v>
      </c>
      <c r="H446" s="13">
        <f>SUM(H439:H445)</f>
        <v>0</v>
      </c>
      <c r="I446" s="13">
        <f>SUM(I439:I445)</f>
        <v>216820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f>G440</f>
        <v>216820</v>
      </c>
      <c r="H459" s="18"/>
      <c r="I459" s="56">
        <f t="shared" si="34"/>
        <v>216820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216820</v>
      </c>
      <c r="H460" s="83">
        <f>SUM(H454:H459)</f>
        <v>0</v>
      </c>
      <c r="I460" s="83">
        <f>SUM(I454:I459)</f>
        <v>216820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216820</v>
      </c>
      <c r="H461" s="42">
        <f>H452+H460</f>
        <v>0</v>
      </c>
      <c r="I461" s="42">
        <f>I452+I460</f>
        <v>216820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f>229292+21345</f>
        <v>250637</v>
      </c>
      <c r="G465" s="18">
        <v>7678</v>
      </c>
      <c r="H465" s="18">
        <v>0</v>
      </c>
      <c r="I465" s="18"/>
      <c r="J465" s="18">
        <f>155271+40000-433</f>
        <v>194838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2278158</v>
      </c>
      <c r="G468" s="18">
        <f>G193</f>
        <v>28295</v>
      </c>
      <c r="H468" s="18">
        <f>H193</f>
        <v>48474</v>
      </c>
      <c r="I468" s="18"/>
      <c r="J468" s="18">
        <f>J193</f>
        <v>21982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2278158</v>
      </c>
      <c r="G470" s="53">
        <f>SUM(G468:G469)</f>
        <v>28295</v>
      </c>
      <c r="H470" s="53">
        <f>SUM(H468:H469)</f>
        <v>48474</v>
      </c>
      <c r="I470" s="53">
        <f>SUM(I468:I469)</f>
        <v>0</v>
      </c>
      <c r="J470" s="53">
        <f>SUM(J468:J469)</f>
        <v>21982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2394604</v>
      </c>
      <c r="G472" s="18">
        <f>L362</f>
        <v>30662</v>
      </c>
      <c r="H472" s="18">
        <f>L352</f>
        <v>48566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2394604</v>
      </c>
      <c r="G474" s="53">
        <f>SUM(G472:G473)</f>
        <v>30662</v>
      </c>
      <c r="H474" s="53">
        <f>SUM(H472:H473)</f>
        <v>48566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134191</v>
      </c>
      <c r="G476" s="53">
        <f>(G465+G470)- G474</f>
        <v>5311</v>
      </c>
      <c r="H476" s="53">
        <f>(H465+H470)- H474</f>
        <v>-92</v>
      </c>
      <c r="I476" s="53">
        <f>(I465+I470)- I474</f>
        <v>0</v>
      </c>
      <c r="J476" s="53">
        <f>(J465+J470)- J474</f>
        <v>216820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6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1105012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280000</v>
      </c>
      <c r="G495" s="18"/>
      <c r="H495" s="18"/>
      <c r="I495" s="18"/>
      <c r="J495" s="18"/>
      <c r="K495" s="53">
        <f>SUM(F495:J495)</f>
        <v>280000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70000</v>
      </c>
      <c r="G497" s="18"/>
      <c r="H497" s="18"/>
      <c r="I497" s="18"/>
      <c r="J497" s="18"/>
      <c r="K497" s="53">
        <f t="shared" si="35"/>
        <v>70000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F495-F497</f>
        <v>210000</v>
      </c>
      <c r="G498" s="204"/>
      <c r="H498" s="204"/>
      <c r="I498" s="204"/>
      <c r="J498" s="204"/>
      <c r="K498" s="205">
        <f t="shared" si="35"/>
        <v>210000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f>26538-9538</f>
        <v>17000</v>
      </c>
      <c r="G499" s="18"/>
      <c r="H499" s="18"/>
      <c r="I499" s="18"/>
      <c r="J499" s="18"/>
      <c r="K499" s="53">
        <f t="shared" si="35"/>
        <v>17000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227000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227000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70000</v>
      </c>
      <c r="G501" s="204"/>
      <c r="H501" s="204"/>
      <c r="I501" s="204"/>
      <c r="J501" s="204"/>
      <c r="K501" s="205">
        <f t="shared" si="35"/>
        <v>70000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8538</v>
      </c>
      <c r="G502" s="18"/>
      <c r="H502" s="18"/>
      <c r="I502" s="18"/>
      <c r="J502" s="18"/>
      <c r="K502" s="53">
        <f t="shared" si="35"/>
        <v>8538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78538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78538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69519</v>
      </c>
      <c r="G521" s="18">
        <v>13104</v>
      </c>
      <c r="H521" s="18">
        <v>176</v>
      </c>
      <c r="I521" s="18">
        <v>469</v>
      </c>
      <c r="J521" s="18">
        <v>0</v>
      </c>
      <c r="K521" s="18">
        <v>0</v>
      </c>
      <c r="L521" s="88">
        <f>SUM(F521:K521)</f>
        <v>83268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69519</v>
      </c>
      <c r="G524" s="108">
        <f t="shared" ref="G524:L524" si="36">SUM(G521:G523)</f>
        <v>13104</v>
      </c>
      <c r="H524" s="108">
        <f t="shared" si="36"/>
        <v>176</v>
      </c>
      <c r="I524" s="108">
        <f t="shared" si="36"/>
        <v>469</v>
      </c>
      <c r="J524" s="108">
        <f t="shared" si="36"/>
        <v>0</v>
      </c>
      <c r="K524" s="108">
        <f t="shared" si="36"/>
        <v>0</v>
      </c>
      <c r="L524" s="89">
        <f t="shared" si="36"/>
        <v>83268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0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69519</v>
      </c>
      <c r="G545" s="89">
        <f t="shared" ref="G545:L545" si="41">G524+G529+G534+G539+G544</f>
        <v>13104</v>
      </c>
      <c r="H545" s="89">
        <f t="shared" si="41"/>
        <v>176</v>
      </c>
      <c r="I545" s="89">
        <f t="shared" si="41"/>
        <v>469</v>
      </c>
      <c r="J545" s="89">
        <f t="shared" si="41"/>
        <v>0</v>
      </c>
      <c r="K545" s="89">
        <f t="shared" si="41"/>
        <v>0</v>
      </c>
      <c r="L545" s="89">
        <f t="shared" si="41"/>
        <v>83268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83268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83268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83268</v>
      </c>
      <c r="G552" s="89">
        <f t="shared" si="42"/>
        <v>0</v>
      </c>
      <c r="H552" s="89">
        <f t="shared" si="42"/>
        <v>0</v>
      </c>
      <c r="I552" s="89">
        <f t="shared" si="42"/>
        <v>0</v>
      </c>
      <c r="J552" s="89">
        <f t="shared" si="42"/>
        <v>0</v>
      </c>
      <c r="K552" s="89">
        <f t="shared" si="42"/>
        <v>83268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11778</v>
      </c>
      <c r="G575" s="18">
        <v>541697</v>
      </c>
      <c r="H575" s="18">
        <v>810528</v>
      </c>
      <c r="I575" s="87">
        <f>SUM(F575:H575)</f>
        <v>1364003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95142*0.5</f>
        <v>47571</v>
      </c>
      <c r="I591" s="18">
        <f>(H591*0.5)+0.5</f>
        <v>23786</v>
      </c>
      <c r="J591" s="18">
        <f>(H591*0.5)+0.5</f>
        <v>23786</v>
      </c>
      <c r="K591" s="104">
        <f t="shared" ref="K591:K597" si="48">SUM(H591:J591)</f>
        <v>95143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2556</v>
      </c>
      <c r="I595" s="18"/>
      <c r="J595" s="18"/>
      <c r="K595" s="104">
        <f t="shared" si="48"/>
        <v>2556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50127</v>
      </c>
      <c r="I598" s="108">
        <f>SUM(I591:I597)</f>
        <v>23786</v>
      </c>
      <c r="J598" s="108">
        <f>SUM(J591:J597)</f>
        <v>23786</v>
      </c>
      <c r="K598" s="108">
        <f>SUM(K591:K597)</f>
        <v>97699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J211+J290</f>
        <v>10115</v>
      </c>
      <c r="I604" s="18">
        <f>J229+J309</f>
        <v>0</v>
      </c>
      <c r="J604" s="18">
        <f>J247+J328</f>
        <v>0</v>
      </c>
      <c r="K604" s="104">
        <f>SUM(H604:J604)</f>
        <v>10115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10115</v>
      </c>
      <c r="I605" s="108">
        <f>SUM(I602:I604)</f>
        <v>0</v>
      </c>
      <c r="J605" s="108">
        <f>SUM(J602:J604)</f>
        <v>0</v>
      </c>
      <c r="K605" s="108">
        <f>SUM(K602:K604)</f>
        <v>10115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137907</v>
      </c>
      <c r="H617" s="109">
        <f>SUM(F52)</f>
        <v>137907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7061</v>
      </c>
      <c r="H618" s="109">
        <f>SUM(G52)</f>
        <v>7061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15087</v>
      </c>
      <c r="H619" s="109">
        <f>SUM(H52)</f>
        <v>15087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216820</v>
      </c>
      <c r="H621" s="109">
        <f>SUM(J52)</f>
        <v>216820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134191</v>
      </c>
      <c r="H622" s="109">
        <f>F476</f>
        <v>134191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5311</v>
      </c>
      <c r="H623" s="109">
        <f>G476</f>
        <v>5311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-92</v>
      </c>
      <c r="H624" s="109">
        <f>H476</f>
        <v>-92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216820</v>
      </c>
      <c r="H626" s="109">
        <f>J476</f>
        <v>216820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2278158</v>
      </c>
      <c r="H627" s="104">
        <f>SUM(F468)</f>
        <v>2278158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28295</v>
      </c>
      <c r="H628" s="104">
        <f>SUM(G468)</f>
        <v>28295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48474</v>
      </c>
      <c r="H629" s="104">
        <f>SUM(H468)</f>
        <v>48474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21982</v>
      </c>
      <c r="H631" s="104">
        <f>SUM(J468)</f>
        <v>21982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2394604</v>
      </c>
      <c r="H632" s="104">
        <f>SUM(F472)</f>
        <v>2394604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48566</v>
      </c>
      <c r="H633" s="104">
        <f>SUM(H472)</f>
        <v>48566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12952</v>
      </c>
      <c r="H634" s="104">
        <f>I369</f>
        <v>12952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30662</v>
      </c>
      <c r="H635" s="104">
        <f>SUM(G472)</f>
        <v>30662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21982</v>
      </c>
      <c r="H637" s="164">
        <f>SUM(J468)</f>
        <v>21982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216820</v>
      </c>
      <c r="H640" s="104">
        <f>SUM(G461)</f>
        <v>216820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216820</v>
      </c>
      <c r="H642" s="104">
        <f>SUM(I461)</f>
        <v>216820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1982</v>
      </c>
      <c r="H644" s="104">
        <f>H408</f>
        <v>1982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20000</v>
      </c>
      <c r="H645" s="104">
        <f>G408</f>
        <v>20000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21982</v>
      </c>
      <c r="H646" s="104">
        <f>L408</f>
        <v>21982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97699</v>
      </c>
      <c r="H647" s="104">
        <f>L208+L226+L244</f>
        <v>97699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10115</v>
      </c>
      <c r="H648" s="104">
        <f>(J257+J338)-(J255+J336)</f>
        <v>10115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50127</v>
      </c>
      <c r="H649" s="104">
        <f>H598</f>
        <v>50127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23786</v>
      </c>
      <c r="H650" s="104">
        <f>I598</f>
        <v>23786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23786</v>
      </c>
      <c r="H651" s="104">
        <f>J598</f>
        <v>23786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9000</v>
      </c>
      <c r="H652" s="104">
        <f>K263+K345</f>
        <v>9000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20000</v>
      </c>
      <c r="H655" s="104">
        <f>K266+K347</f>
        <v>20000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842603</v>
      </c>
      <c r="G660" s="19">
        <f>(L229+L309+L359)</f>
        <v>614365</v>
      </c>
      <c r="H660" s="19">
        <f>(L247+L328+L360)</f>
        <v>909325</v>
      </c>
      <c r="I660" s="19">
        <f>SUM(F660:H660)</f>
        <v>2366293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6522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6522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50127</v>
      </c>
      <c r="G662" s="19">
        <f>(L226+L306)-(J226+J306)</f>
        <v>23786</v>
      </c>
      <c r="H662" s="19">
        <f>(L244+L325)-(J244+J325)</f>
        <v>23786</v>
      </c>
      <c r="I662" s="19">
        <f>SUM(F662:H662)</f>
        <v>97699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21893</v>
      </c>
      <c r="G663" s="199">
        <f>SUM(G575:G587)+SUM(I602:I604)+L612</f>
        <v>541697</v>
      </c>
      <c r="H663" s="199">
        <f>SUM(H575:H587)+SUM(J602:J604)+L613</f>
        <v>810528</v>
      </c>
      <c r="I663" s="19">
        <f>SUM(F663:H663)</f>
        <v>1374118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764061</v>
      </c>
      <c r="G664" s="19">
        <f>G660-SUM(G661:G663)</f>
        <v>48882</v>
      </c>
      <c r="H664" s="19">
        <f>H660-SUM(H661:H663)</f>
        <v>75011</v>
      </c>
      <c r="I664" s="19">
        <f>I660-SUM(I661:I663)</f>
        <v>887954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41.41</v>
      </c>
      <c r="G665" s="248"/>
      <c r="H665" s="248"/>
      <c r="I665" s="19">
        <f>SUM(F665:H665)</f>
        <v>41.41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18451.12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21442.98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>
        <v>-48882</v>
      </c>
      <c r="H669" s="18">
        <v>-75011</v>
      </c>
      <c r="I669" s="19">
        <f>SUM(F669:H669)</f>
        <v>-123893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18451.12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18451.12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2" workbookViewId="0">
      <selection activeCell="C11" sqref="C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WASHINGTON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250721</v>
      </c>
      <c r="C9" s="229">
        <f>'DOE25'!G197+'DOE25'!G215+'DOE25'!G233+'DOE25'!G276+'DOE25'!G295+'DOE25'!G314</f>
        <v>75148</v>
      </c>
    </row>
    <row r="10" spans="1:3" x14ac:dyDescent="0.2">
      <c r="A10" t="s">
        <v>779</v>
      </c>
      <c r="B10" s="240">
        <v>210681</v>
      </c>
      <c r="C10" s="240">
        <v>63932</v>
      </c>
    </row>
    <row r="11" spans="1:3" x14ac:dyDescent="0.2">
      <c r="A11" t="s">
        <v>780</v>
      </c>
      <c r="B11" s="240">
        <v>35338</v>
      </c>
      <c r="C11" s="240">
        <v>10961</v>
      </c>
    </row>
    <row r="12" spans="1:3" x14ac:dyDescent="0.2">
      <c r="A12" t="s">
        <v>781</v>
      </c>
      <c r="B12" s="240">
        <v>4702</v>
      </c>
      <c r="C12" s="240">
        <v>255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250721</v>
      </c>
      <c r="C13" s="231">
        <f>SUM(C10:C12)</f>
        <v>75148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69519</v>
      </c>
      <c r="C18" s="229">
        <f>'DOE25'!G198+'DOE25'!G216+'DOE25'!G234+'DOE25'!G277+'DOE25'!G296+'DOE25'!G315</f>
        <v>13104</v>
      </c>
    </row>
    <row r="19" spans="1:3" x14ac:dyDescent="0.2">
      <c r="A19" t="s">
        <v>779</v>
      </c>
      <c r="B19" s="240">
        <v>60805</v>
      </c>
      <c r="C19" s="240">
        <v>11775</v>
      </c>
    </row>
    <row r="20" spans="1:3" x14ac:dyDescent="0.2">
      <c r="A20" t="s">
        <v>780</v>
      </c>
      <c r="B20" s="240">
        <v>8714</v>
      </c>
      <c r="C20" s="240">
        <v>1329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69519</v>
      </c>
      <c r="C22" s="231">
        <f>SUM(C19:C21)</f>
        <v>13104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WASHINGTON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1770047</v>
      </c>
      <c r="D5" s="20">
        <f>SUM('DOE25'!L197:L200)+SUM('DOE25'!L215:L218)+SUM('DOE25'!L233:L236)-F5-G5</f>
        <v>1766838</v>
      </c>
      <c r="E5" s="243"/>
      <c r="F5" s="255">
        <f>SUM('DOE25'!J197:J200)+SUM('DOE25'!J215:J218)+SUM('DOE25'!J233:J236)</f>
        <v>2495</v>
      </c>
      <c r="G5" s="53">
        <f>SUM('DOE25'!K197:K200)+SUM('DOE25'!K215:K218)+SUM('DOE25'!K233:K236)</f>
        <v>714</v>
      </c>
      <c r="H5" s="259"/>
    </row>
    <row r="6" spans="1:9" x14ac:dyDescent="0.2">
      <c r="A6" s="32">
        <v>2100</v>
      </c>
      <c r="B6" t="s">
        <v>801</v>
      </c>
      <c r="C6" s="245">
        <f t="shared" si="0"/>
        <v>39103</v>
      </c>
      <c r="D6" s="20">
        <f>'DOE25'!L202+'DOE25'!L220+'DOE25'!L238-F6-G6</f>
        <v>39103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9085</v>
      </c>
      <c r="D7" s="20">
        <f>'DOE25'!L203+'DOE25'!L221+'DOE25'!L239-F7-G7</f>
        <v>9085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130739</v>
      </c>
      <c r="D8" s="243"/>
      <c r="E8" s="20">
        <f>'DOE25'!L204+'DOE25'!L222+'DOE25'!L240-F8-G8-D9-D11</f>
        <v>124949</v>
      </c>
      <c r="F8" s="255">
        <f>'DOE25'!J204+'DOE25'!J222+'DOE25'!J240</f>
        <v>0</v>
      </c>
      <c r="G8" s="53">
        <f>'DOE25'!K204+'DOE25'!K222+'DOE25'!K240</f>
        <v>5790</v>
      </c>
      <c r="H8" s="259"/>
    </row>
    <row r="9" spans="1:9" x14ac:dyDescent="0.2">
      <c r="A9" s="32">
        <v>2310</v>
      </c>
      <c r="B9" t="s">
        <v>818</v>
      </c>
      <c r="C9" s="245">
        <f t="shared" si="0"/>
        <v>8751</v>
      </c>
      <c r="D9" s="244">
        <v>8751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9630</v>
      </c>
      <c r="D10" s="243"/>
      <c r="E10" s="244">
        <v>9630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37914</v>
      </c>
      <c r="D11" s="244">
        <v>37914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81154</v>
      </c>
      <c r="D12" s="20">
        <f>'DOE25'!L205+'DOE25'!L223+'DOE25'!L241-F12-G12</f>
        <v>81154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112573</v>
      </c>
      <c r="D14" s="20">
        <f>'DOE25'!L207+'DOE25'!L225+'DOE25'!L243-F14-G14</f>
        <v>104953</v>
      </c>
      <c r="E14" s="243"/>
      <c r="F14" s="255">
        <f>'DOE25'!J207+'DOE25'!J225+'DOE25'!J243</f>
        <v>7620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97699</v>
      </c>
      <c r="D15" s="20">
        <f>'DOE25'!L208+'DOE25'!L226+'DOE25'!L244-F15-G15</f>
        <v>97699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78539</v>
      </c>
      <c r="D25" s="243"/>
      <c r="E25" s="243"/>
      <c r="F25" s="258"/>
      <c r="G25" s="256"/>
      <c r="H25" s="257">
        <f>'DOE25'!L260+'DOE25'!L261+'DOE25'!L341+'DOE25'!L342</f>
        <v>78539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17710</v>
      </c>
      <c r="D29" s="20">
        <f>'DOE25'!L358+'DOE25'!L359+'DOE25'!L360-'DOE25'!I367-F29-G29</f>
        <v>17710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48566</v>
      </c>
      <c r="D31" s="20">
        <f>'DOE25'!L290+'DOE25'!L309+'DOE25'!L328+'DOE25'!L333+'DOE25'!L334+'DOE25'!L335-F31-G31</f>
        <v>48566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2211773</v>
      </c>
      <c r="E33" s="246">
        <f>SUM(E5:E31)</f>
        <v>134579</v>
      </c>
      <c r="F33" s="246">
        <f>SUM(F5:F31)</f>
        <v>10115</v>
      </c>
      <c r="G33" s="246">
        <f>SUM(G5:G31)</f>
        <v>6504</v>
      </c>
      <c r="H33" s="246">
        <f>SUM(H5:H31)</f>
        <v>78539</v>
      </c>
    </row>
    <row r="35" spans="2:8" ht="12" thickBot="1" x14ac:dyDescent="0.25">
      <c r="B35" s="253" t="s">
        <v>847</v>
      </c>
      <c r="D35" s="254">
        <f>E33</f>
        <v>134579</v>
      </c>
      <c r="E35" s="249"/>
    </row>
    <row r="36" spans="2:8" ht="12" thickTop="1" x14ac:dyDescent="0.2">
      <c r="B36" t="s">
        <v>815</v>
      </c>
      <c r="D36" s="20">
        <f>D33</f>
        <v>2211773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25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WASHINGTON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131056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216820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6851</v>
      </c>
      <c r="D11" s="95">
        <f>'DOE25'!G12</f>
        <v>5474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1587</v>
      </c>
      <c r="E12" s="95">
        <f>'DOE25'!H13</f>
        <v>15087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137907</v>
      </c>
      <c r="D18" s="41">
        <f>SUM(D8:D17)</f>
        <v>7061</v>
      </c>
      <c r="E18" s="41">
        <f>SUM(E8:E17)</f>
        <v>15087</v>
      </c>
      <c r="F18" s="41">
        <f>SUM(F8:F17)</f>
        <v>0</v>
      </c>
      <c r="G18" s="41">
        <f>SUM(G8:G17)</f>
        <v>216820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15179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1750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3716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3716</v>
      </c>
      <c r="D31" s="41">
        <f>SUM(D21:D30)</f>
        <v>1750</v>
      </c>
      <c r="E31" s="41">
        <f>SUM(E21:E30)</f>
        <v>15179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20000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20000</v>
      </c>
      <c r="D47" s="95">
        <f>'DOE25'!G48</f>
        <v>5311</v>
      </c>
      <c r="E47" s="95">
        <f>'DOE25'!H48</f>
        <v>-92</v>
      </c>
      <c r="F47" s="95">
        <f>'DOE25'!I48</f>
        <v>0</v>
      </c>
      <c r="G47" s="95">
        <f>'DOE25'!J48</f>
        <v>216820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8700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85491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134191</v>
      </c>
      <c r="D50" s="41">
        <f>SUM(D34:D49)</f>
        <v>5311</v>
      </c>
      <c r="E50" s="41">
        <f>SUM(E34:E49)</f>
        <v>-92</v>
      </c>
      <c r="F50" s="41">
        <f>SUM(F34:F49)</f>
        <v>0</v>
      </c>
      <c r="G50" s="41">
        <f>SUM(G34:G49)</f>
        <v>216820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137907</v>
      </c>
      <c r="D51" s="41">
        <f>D50+D31</f>
        <v>7061</v>
      </c>
      <c r="E51" s="41">
        <f>E50+E31</f>
        <v>15087</v>
      </c>
      <c r="F51" s="41">
        <f>F50+F31</f>
        <v>0</v>
      </c>
      <c r="G51" s="41">
        <f>G50+G31</f>
        <v>216820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1578104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35362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1982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6522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7098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42460</v>
      </c>
      <c r="D62" s="130">
        <f>SUM(D57:D61)</f>
        <v>6522</v>
      </c>
      <c r="E62" s="130">
        <f>SUM(E57:E61)</f>
        <v>0</v>
      </c>
      <c r="F62" s="130">
        <f>SUM(F57:F61)</f>
        <v>0</v>
      </c>
      <c r="G62" s="130">
        <f>SUM(G57:G61)</f>
        <v>1982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1620564</v>
      </c>
      <c r="D63" s="22">
        <f>D56+D62</f>
        <v>6522</v>
      </c>
      <c r="E63" s="22">
        <f>E56+E62</f>
        <v>0</v>
      </c>
      <c r="F63" s="22">
        <f>F56+F62</f>
        <v>0</v>
      </c>
      <c r="G63" s="22">
        <f>G56+G62</f>
        <v>1982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54627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574370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628997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18421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294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18421</v>
      </c>
      <c r="D78" s="130">
        <f>SUM(D72:D77)</f>
        <v>294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647418</v>
      </c>
      <c r="D81" s="130">
        <f>SUM(D79:D80)+D78+D70</f>
        <v>294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10176</v>
      </c>
      <c r="D88" s="95">
        <f>SUM('DOE25'!G153:G161)</f>
        <v>12479</v>
      </c>
      <c r="E88" s="95">
        <f>SUM('DOE25'!H153:H161)</f>
        <v>48474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10176</v>
      </c>
      <c r="D91" s="131">
        <f>SUM(D85:D90)</f>
        <v>12479</v>
      </c>
      <c r="E91" s="131">
        <f>SUM(E85:E90)</f>
        <v>48474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9000</v>
      </c>
      <c r="E96" s="95">
        <f>'DOE25'!H179</f>
        <v>0</v>
      </c>
      <c r="F96" s="95">
        <f>'DOE25'!I179</f>
        <v>0</v>
      </c>
      <c r="G96" s="95">
        <f>'DOE25'!J179</f>
        <v>20000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9000</v>
      </c>
      <c r="E103" s="86">
        <f>SUM(E93:E102)</f>
        <v>0</v>
      </c>
      <c r="F103" s="86">
        <f>SUM(F93:F102)</f>
        <v>0</v>
      </c>
      <c r="G103" s="86">
        <f>SUM(G93:G102)</f>
        <v>20000</v>
      </c>
    </row>
    <row r="104" spans="1:7" ht="12.75" thickTop="1" thickBot="1" x14ac:dyDescent="0.25">
      <c r="A104" s="33" t="s">
        <v>765</v>
      </c>
      <c r="C104" s="86">
        <f>C63+C81+C91+C103</f>
        <v>2278158</v>
      </c>
      <c r="D104" s="86">
        <f>D63+D81+D91+D103</f>
        <v>28295</v>
      </c>
      <c r="E104" s="86">
        <f>E63+E81+E91+E103</f>
        <v>48474</v>
      </c>
      <c r="F104" s="86">
        <f>F63+F81+F91+F103</f>
        <v>0</v>
      </c>
      <c r="G104" s="86">
        <f>G63+G81+G103</f>
        <v>21982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1686779</v>
      </c>
      <c r="D109" s="24" t="s">
        <v>289</v>
      </c>
      <c r="E109" s="95">
        <f>('DOE25'!L276)+('DOE25'!L295)+('DOE25'!L314)</f>
        <v>48566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83268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1770047</v>
      </c>
      <c r="D115" s="86">
        <f>SUM(D109:D114)</f>
        <v>0</v>
      </c>
      <c r="E115" s="86">
        <f>SUM(E109:E114)</f>
        <v>48566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39103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9085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177404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81154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112573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97699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30662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517018</v>
      </c>
      <c r="D128" s="86">
        <f>SUM(D118:D127)</f>
        <v>30662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70000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8539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9000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21982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-1982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107539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2394604</v>
      </c>
      <c r="D145" s="86">
        <f>(D115+D128+D144)</f>
        <v>30662</v>
      </c>
      <c r="E145" s="86">
        <f>(E115+E128+E144)</f>
        <v>48566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6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08/01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0/16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1105012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280000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280000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70000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70000</v>
      </c>
    </row>
    <row r="159" spans="1:9" x14ac:dyDescent="0.2">
      <c r="A159" s="22" t="s">
        <v>35</v>
      </c>
      <c r="B159" s="137">
        <f>'DOE25'!F498</f>
        <v>210000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210000</v>
      </c>
    </row>
    <row r="160" spans="1:9" x14ac:dyDescent="0.2">
      <c r="A160" s="22" t="s">
        <v>36</v>
      </c>
      <c r="B160" s="137">
        <f>'DOE25'!F499</f>
        <v>17000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17000</v>
      </c>
    </row>
    <row r="161" spans="1:7" x14ac:dyDescent="0.2">
      <c r="A161" s="22" t="s">
        <v>37</v>
      </c>
      <c r="B161" s="137">
        <f>'DOE25'!F500</f>
        <v>227000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227000</v>
      </c>
    </row>
    <row r="162" spans="1:7" x14ac:dyDescent="0.2">
      <c r="A162" s="22" t="s">
        <v>38</v>
      </c>
      <c r="B162" s="137">
        <f>'DOE25'!F501</f>
        <v>70000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70000</v>
      </c>
    </row>
    <row r="163" spans="1:7" x14ac:dyDescent="0.2">
      <c r="A163" s="22" t="s">
        <v>39</v>
      </c>
      <c r="B163" s="137">
        <f>'DOE25'!F502</f>
        <v>8538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8538</v>
      </c>
    </row>
    <row r="164" spans="1:7" x14ac:dyDescent="0.2">
      <c r="A164" s="22" t="s">
        <v>246</v>
      </c>
      <c r="B164" s="137">
        <f>'DOE25'!F503</f>
        <v>78538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78538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C4" sqref="C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WASHINGTON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18451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18451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1735345</v>
      </c>
      <c r="D10" s="182">
        <f>ROUND((C10/$C$28)*100,1)</f>
        <v>73.3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83268</v>
      </c>
      <c r="D11" s="182">
        <f>ROUND((C11/$C$28)*100,1)</f>
        <v>3.5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39103</v>
      </c>
      <c r="D15" s="182">
        <f t="shared" ref="D15:D27" si="0">ROUND((C15/$C$28)*100,1)</f>
        <v>1.7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9085</v>
      </c>
      <c r="D16" s="182">
        <f t="shared" si="0"/>
        <v>0.4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177404</v>
      </c>
      <c r="D17" s="182">
        <f t="shared" si="0"/>
        <v>7.5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81154</v>
      </c>
      <c r="D18" s="182">
        <f t="shared" si="0"/>
        <v>3.4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112573</v>
      </c>
      <c r="D20" s="182">
        <f t="shared" si="0"/>
        <v>4.8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97699</v>
      </c>
      <c r="D21" s="182">
        <f t="shared" si="0"/>
        <v>4.0999999999999996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8539</v>
      </c>
      <c r="D25" s="182">
        <f t="shared" si="0"/>
        <v>0.4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24140</v>
      </c>
      <c r="D27" s="182">
        <f t="shared" si="0"/>
        <v>1</v>
      </c>
    </row>
    <row r="28" spans="1:4" x14ac:dyDescent="0.2">
      <c r="B28" s="187" t="s">
        <v>723</v>
      </c>
      <c r="C28" s="180">
        <f>SUM(C10:C27)</f>
        <v>2368310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2368310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70000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1578104</v>
      </c>
      <c r="D35" s="182">
        <f t="shared" ref="D35:D40" si="1">ROUND((C35/$C$41)*100,1)</f>
        <v>67.400000000000006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44442</v>
      </c>
      <c r="D36" s="182">
        <f t="shared" si="1"/>
        <v>1.9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628997</v>
      </c>
      <c r="D37" s="182">
        <f t="shared" si="1"/>
        <v>26.9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18715</v>
      </c>
      <c r="D38" s="182">
        <f t="shared" si="1"/>
        <v>0.8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71129</v>
      </c>
      <c r="D39" s="182">
        <f t="shared" si="1"/>
        <v>3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2341387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6" sqref="C6:M6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WASHINGTON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>
        <v>3</v>
      </c>
      <c r="B5" s="219">
        <v>23</v>
      </c>
      <c r="C5" s="285" t="s">
        <v>914</v>
      </c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2014-10-03T17:25:00Z</cp:lastPrinted>
  <dcterms:created xsi:type="dcterms:W3CDTF">1997-12-04T19:04:30Z</dcterms:created>
  <dcterms:modified xsi:type="dcterms:W3CDTF">2014-11-14T18:06:27Z</dcterms:modified>
</cp:coreProperties>
</file>