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C12" i="10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G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C19" i="10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C35" i="10" s="1"/>
  <c r="I60" i="1"/>
  <c r="F79" i="1"/>
  <c r="F94" i="1"/>
  <c r="F111" i="1"/>
  <c r="F112" i="1" s="1"/>
  <c r="G111" i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G147" i="1"/>
  <c r="G162" i="1"/>
  <c r="H147" i="1"/>
  <c r="H162" i="1"/>
  <c r="I147" i="1"/>
  <c r="I162" i="1"/>
  <c r="I169" i="1" s="1"/>
  <c r="C15" i="10"/>
  <c r="C21" i="10"/>
  <c r="L250" i="1"/>
  <c r="L332" i="1"/>
  <c r="L254" i="1"/>
  <c r="C25" i="10"/>
  <c r="L268" i="1"/>
  <c r="L269" i="1"/>
  <c r="L349" i="1"/>
  <c r="L350" i="1"/>
  <c r="E143" i="2" s="1"/>
  <c r="I665" i="1"/>
  <c r="I670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51" i="1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K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D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E119" i="2"/>
  <c r="E120" i="2"/>
  <c r="E121" i="2"/>
  <c r="C122" i="2"/>
  <c r="E122" i="2"/>
  <c r="C123" i="2"/>
  <c r="E123" i="2"/>
  <c r="E124" i="2"/>
  <c r="C125" i="2"/>
  <c r="E125" i="2"/>
  <c r="F128" i="2"/>
  <c r="G128" i="2"/>
  <c r="E130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F32" i="1"/>
  <c r="F52" i="1" s="1"/>
  <c r="G32" i="1"/>
  <c r="G52" i="1" s="1"/>
  <c r="H618" i="1" s="1"/>
  <c r="H32" i="1"/>
  <c r="I32" i="1"/>
  <c r="H617" i="1"/>
  <c r="H51" i="1"/>
  <c r="I51" i="1"/>
  <c r="G625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3" i="1" s="1"/>
  <c r="L432" i="1"/>
  <c r="F433" i="1"/>
  <c r="G433" i="1"/>
  <c r="H433" i="1"/>
  <c r="I433" i="1"/>
  <c r="J433" i="1"/>
  <c r="F446" i="1"/>
  <c r="G446" i="1"/>
  <c r="G640" i="1" s="1"/>
  <c r="J640" i="1" s="1"/>
  <c r="H446" i="1"/>
  <c r="F452" i="1"/>
  <c r="G452" i="1"/>
  <c r="H452" i="1"/>
  <c r="F460" i="1"/>
  <c r="G460" i="1"/>
  <c r="G461" i="1" s="1"/>
  <c r="H640" i="1" s="1"/>
  <c r="H460" i="1"/>
  <c r="F461" i="1"/>
  <c r="H461" i="1"/>
  <c r="F470" i="1"/>
  <c r="G470" i="1"/>
  <c r="G476" i="1" s="1"/>
  <c r="H623" i="1" s="1"/>
  <c r="H470" i="1"/>
  <c r="I470" i="1"/>
  <c r="I476" i="1" s="1"/>
  <c r="H625" i="1" s="1"/>
  <c r="J470" i="1"/>
  <c r="F474" i="1"/>
  <c r="F476" i="1" s="1"/>
  <c r="H622" i="1" s="1"/>
  <c r="J622" i="1" s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60" i="1" s="1"/>
  <c r="L558" i="1"/>
  <c r="L559" i="1"/>
  <c r="F560" i="1"/>
  <c r="G560" i="1"/>
  <c r="H560" i="1"/>
  <c r="I560" i="1"/>
  <c r="I571" i="1" s="1"/>
  <c r="J560" i="1"/>
  <c r="K560" i="1"/>
  <c r="K571" i="1" s="1"/>
  <c r="L562" i="1"/>
  <c r="L563" i="1"/>
  <c r="L565" i="1" s="1"/>
  <c r="L564" i="1"/>
  <c r="F565" i="1"/>
  <c r="F571" i="1" s="1"/>
  <c r="G565" i="1"/>
  <c r="H565" i="1"/>
  <c r="H571" i="1" s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20" i="1"/>
  <c r="G622" i="1"/>
  <c r="G623" i="1"/>
  <c r="G624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J639" i="1" s="1"/>
  <c r="G641" i="1"/>
  <c r="H641" i="1"/>
  <c r="J641" i="1" s="1"/>
  <c r="G643" i="1"/>
  <c r="H643" i="1"/>
  <c r="G644" i="1"/>
  <c r="J644" i="1" s="1"/>
  <c r="H644" i="1"/>
  <c r="G645" i="1"/>
  <c r="H645" i="1"/>
  <c r="J645" i="1" s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328" i="1"/>
  <c r="L290" i="1"/>
  <c r="D18" i="13"/>
  <c r="C18" i="13" s="1"/>
  <c r="D15" i="13"/>
  <c r="C15" i="13" s="1"/>
  <c r="D7" i="13"/>
  <c r="C7" i="13" s="1"/>
  <c r="D17" i="13"/>
  <c r="C17" i="13" s="1"/>
  <c r="F78" i="2"/>
  <c r="D50" i="2"/>
  <c r="D29" i="13"/>
  <c r="C29" i="13" s="1"/>
  <c r="D19" i="13"/>
  <c r="C19" i="13" s="1"/>
  <c r="E78" i="2"/>
  <c r="H112" i="1"/>
  <c r="J571" i="1"/>
  <c r="D81" i="2"/>
  <c r="H169" i="1"/>
  <c r="J643" i="1"/>
  <c r="G338" i="1"/>
  <c r="G352" i="1" s="1"/>
  <c r="F169" i="1"/>
  <c r="J140" i="1"/>
  <c r="I552" i="1"/>
  <c r="G22" i="2"/>
  <c r="J552" i="1"/>
  <c r="C29" i="10"/>
  <c r="L401" i="1"/>
  <c r="C139" i="2" s="1"/>
  <c r="L393" i="1"/>
  <c r="F22" i="13"/>
  <c r="C22" i="13" s="1"/>
  <c r="H25" i="13"/>
  <c r="C25" i="13" s="1"/>
  <c r="J651" i="1"/>
  <c r="F338" i="1"/>
  <c r="F352" i="1" s="1"/>
  <c r="H192" i="1"/>
  <c r="L309" i="1"/>
  <c r="E16" i="13"/>
  <c r="J655" i="1"/>
  <c r="L570" i="1"/>
  <c r="G36" i="2"/>
  <c r="K551" i="1"/>
  <c r="C138" i="2"/>
  <c r="J625" i="1" l="1"/>
  <c r="F81" i="2"/>
  <c r="K598" i="1"/>
  <c r="G647" i="1" s="1"/>
  <c r="L539" i="1"/>
  <c r="K500" i="1"/>
  <c r="I460" i="1"/>
  <c r="I452" i="1"/>
  <c r="I461" i="1" s="1"/>
  <c r="H642" i="1" s="1"/>
  <c r="I446" i="1"/>
  <c r="G642" i="1" s="1"/>
  <c r="H338" i="1"/>
  <c r="H352" i="1" s="1"/>
  <c r="G161" i="2"/>
  <c r="G157" i="2"/>
  <c r="E134" i="2"/>
  <c r="E144" i="2" s="1"/>
  <c r="E145" i="2" s="1"/>
  <c r="E115" i="2"/>
  <c r="E103" i="2"/>
  <c r="C78" i="2"/>
  <c r="C81" i="2" s="1"/>
  <c r="D62" i="2"/>
  <c r="D63" i="2" s="1"/>
  <c r="F18" i="2"/>
  <c r="L270" i="1"/>
  <c r="J623" i="1"/>
  <c r="E81" i="2"/>
  <c r="H552" i="1"/>
  <c r="C26" i="10"/>
  <c r="H545" i="1"/>
  <c r="J545" i="1"/>
  <c r="H476" i="1"/>
  <c r="H624" i="1" s="1"/>
  <c r="J624" i="1" s="1"/>
  <c r="L382" i="1"/>
  <c r="G636" i="1" s="1"/>
  <c r="J636" i="1" s="1"/>
  <c r="K352" i="1"/>
  <c r="G257" i="1"/>
  <c r="G271" i="1" s="1"/>
  <c r="G164" i="2"/>
  <c r="C91" i="2"/>
  <c r="G112" i="1"/>
  <c r="C32" i="10"/>
  <c r="D14" i="13"/>
  <c r="C14" i="13" s="1"/>
  <c r="A31" i="12"/>
  <c r="H661" i="1"/>
  <c r="E13" i="13"/>
  <c r="C13" i="13" s="1"/>
  <c r="E8" i="13"/>
  <c r="C8" i="13" s="1"/>
  <c r="L534" i="1"/>
  <c r="C13" i="10"/>
  <c r="A40" i="12"/>
  <c r="A13" i="12"/>
  <c r="J649" i="1"/>
  <c r="G545" i="1"/>
  <c r="K549" i="1"/>
  <c r="K552" i="1" s="1"/>
  <c r="L529" i="1"/>
  <c r="F552" i="1"/>
  <c r="L524" i="1"/>
  <c r="K503" i="1"/>
  <c r="D127" i="2"/>
  <c r="D128" i="2" s="1"/>
  <c r="F661" i="1"/>
  <c r="I661" i="1" s="1"/>
  <c r="L362" i="1"/>
  <c r="G635" i="1" s="1"/>
  <c r="J635" i="1" s="1"/>
  <c r="E128" i="2"/>
  <c r="J338" i="1"/>
  <c r="J352" i="1" s="1"/>
  <c r="H33" i="13"/>
  <c r="L247" i="1"/>
  <c r="H660" i="1" s="1"/>
  <c r="H664" i="1" s="1"/>
  <c r="C11" i="10"/>
  <c r="C109" i="2"/>
  <c r="C124" i="2"/>
  <c r="I662" i="1"/>
  <c r="C20" i="10"/>
  <c r="C18" i="10"/>
  <c r="C120" i="2"/>
  <c r="C119" i="2"/>
  <c r="K257" i="1"/>
  <c r="K271" i="1" s="1"/>
  <c r="C118" i="2"/>
  <c r="J647" i="1"/>
  <c r="D12" i="13"/>
  <c r="C12" i="13" s="1"/>
  <c r="C121" i="2"/>
  <c r="C17" i="10"/>
  <c r="C16" i="10"/>
  <c r="C112" i="2"/>
  <c r="L211" i="1"/>
  <c r="F660" i="1" s="1"/>
  <c r="J257" i="1"/>
  <c r="J271" i="1" s="1"/>
  <c r="I257" i="1"/>
  <c r="I271" i="1" s="1"/>
  <c r="H257" i="1"/>
  <c r="H271" i="1" s="1"/>
  <c r="F257" i="1"/>
  <c r="F271" i="1" s="1"/>
  <c r="D6" i="13"/>
  <c r="C6" i="13" s="1"/>
  <c r="C10" i="10"/>
  <c r="C110" i="2"/>
  <c r="D5" i="13"/>
  <c r="C5" i="13" s="1"/>
  <c r="L229" i="1"/>
  <c r="I52" i="1"/>
  <c r="H620" i="1" s="1"/>
  <c r="H52" i="1"/>
  <c r="H619" i="1" s="1"/>
  <c r="J617" i="1"/>
  <c r="D18" i="2"/>
  <c r="C18" i="2"/>
  <c r="G81" i="2"/>
  <c r="C62" i="2"/>
  <c r="C63" i="2" s="1"/>
  <c r="C16" i="13"/>
  <c r="D145" i="2"/>
  <c r="L337" i="1"/>
  <c r="L338" i="1" s="1"/>
  <c r="L352" i="1" s="1"/>
  <c r="G633" i="1" s="1"/>
  <c r="J633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J652" i="1"/>
  <c r="J642" i="1"/>
  <c r="G571" i="1"/>
  <c r="I434" i="1"/>
  <c r="G434" i="1"/>
  <c r="I663" i="1"/>
  <c r="C27" i="10"/>
  <c r="L408" i="1" l="1"/>
  <c r="E104" i="2"/>
  <c r="E33" i="13"/>
  <c r="D35" i="13" s="1"/>
  <c r="G104" i="2"/>
  <c r="F104" i="2"/>
  <c r="C104" i="2"/>
  <c r="L545" i="1"/>
  <c r="F664" i="1"/>
  <c r="F672" i="1" s="1"/>
  <c r="C4" i="10" s="1"/>
  <c r="D31" i="13"/>
  <c r="C31" i="13" s="1"/>
  <c r="F33" i="13"/>
  <c r="H672" i="1"/>
  <c r="C6" i="10" s="1"/>
  <c r="H667" i="1"/>
  <c r="C128" i="2"/>
  <c r="C115" i="2"/>
  <c r="L257" i="1"/>
  <c r="L271" i="1" s="1"/>
  <c r="G632" i="1" s="1"/>
  <c r="J632" i="1" s="1"/>
  <c r="H648" i="1"/>
  <c r="J648" i="1" s="1"/>
  <c r="G660" i="1"/>
  <c r="G664" i="1" s="1"/>
  <c r="G672" i="1" s="1"/>
  <c r="C5" i="10" s="1"/>
  <c r="C28" i="10"/>
  <c r="D24" i="10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G637" i="1" l="1"/>
  <c r="J637" i="1" s="1"/>
  <c r="H646" i="1"/>
  <c r="J646" i="1" s="1"/>
  <c r="F667" i="1"/>
  <c r="C145" i="2"/>
  <c r="D10" i="10"/>
  <c r="D11" i="10"/>
  <c r="D21" i="10"/>
  <c r="G667" i="1"/>
  <c r="D15" i="10"/>
  <c r="D20" i="10"/>
  <c r="D16" i="10"/>
  <c r="D26" i="10"/>
  <c r="D25" i="10"/>
  <c r="D22" i="10"/>
  <c r="D13" i="10"/>
  <c r="C30" i="10"/>
  <c r="D19" i="10"/>
  <c r="I660" i="1"/>
  <c r="I664" i="1" s="1"/>
  <c r="I672" i="1" s="1"/>
  <c r="C7" i="10" s="1"/>
  <c r="D27" i="10"/>
  <c r="D18" i="10"/>
  <c r="D17" i="10"/>
  <c r="D12" i="10"/>
  <c r="D23" i="10"/>
  <c r="C41" i="10"/>
  <c r="D38" i="10" s="1"/>
  <c r="H656" i="1" l="1"/>
  <c r="D28" i="10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<sst xmlns="http://schemas.openxmlformats.org/spreadsheetml/2006/main" count="3956" uniqueCount="914">
  <si>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</si>
  <si>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</si>
  <si>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</si>
  <si>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</si>
  <si>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</si>
  <si>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</si>
  <si>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</si>
  <si>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</si>
  <si>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</si>
  <si>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</si>
  <si>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</si>
  <si>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</si>
  <si>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</si>
  <si>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</si>
  <si>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</si>
  <si>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</si>
  <si>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</si>
  <si>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</si>
  <si>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</si>
  <si>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</si>
  <si>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</si>
  <si>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</si>
  <si>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</si>
  <si>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</si>
  <si>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</si>
  <si>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</si>
  <si>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</si>
  <si>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</si>
  <si>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</si>
  <si>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</si>
  <si>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</si>
  <si>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</si>
  <si>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</si>
  <si>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</si>
  <si>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</si>
  <si>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</si>
  <si>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</si>
  <si>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</si>
  <si>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</si>
  <si>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</si>
  <si>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</si>
  <si>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</si>
  <si>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</si>
  <si>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</si>
  <si>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</si>
  <si>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</si>
  <si>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</si>
  <si>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</si>
  <si>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</si>
  <si>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</si>
  <si>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</si>
  <si>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</si>
  <si>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</si>
  <si>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</si>
  <si>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</si>
  <si>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</si>
  <si>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</si>
  <si>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</si>
  <si>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</si>
  <si>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</si>
  <si>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</si>
  <si>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</si>
  <si>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</si>
  <si>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</si>
  <si>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</si>
  <si>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</si>
  <si>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</si>
  <si>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</si>
  <si>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</si>
  <si>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</si>
  <si>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</si>
  <si>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</si>
  <si>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</si>
  <si>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</si>
  <si>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</si>
  <si>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</si>
  <si>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</si>
  <si>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</si>
  <si>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</si>
  <si>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</si>
  <si>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</si>
  <si>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</si>
  <si>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</si>
  <si>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</si>
  <si>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</si>
  <si>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</si>
  <si>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</si>
  <si>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</si>
  <si>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</si>
  <si>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</si>
  <si>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</si>
  <si>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</si>
  <si>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</si>
  <si>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</si>
  <si>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</si>
  <si>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</si>
  <si>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</si>
  <si>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</si>
  <si>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</si>
  <si>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</si>
  <si>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</si>
  <si>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</si>
  <si>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</si>
  <si>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</si>
  <si>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</si>
  <si>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</si>
  <si>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</si>
  <si>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</si>
  <si>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</si>
  <si>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</si>
  <si>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</si>
  <si>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</si>
  <si>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</si>
  <si>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</si>
  <si>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</si>
  <si>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</si>
  <si>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</si>
  <si>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</si>
  <si>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</si>
  <si>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</si>
  <si>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</si>
  <si>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</si>
  <si>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</si>
  <si>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</si>
  <si>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</si>
  <si>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</si>
  <si>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</si>
  <si>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</si>
  <si>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</si>
  <si>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</si>
  <si>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</si>
  <si>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</si>
  <si>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</si>
  <si>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</si>
  <si>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</si>
  <si>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</si>
  <si>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</si>
  <si>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</si>
  <si>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</si>
  <si>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</si>
  <si>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</si>
  <si>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</si>
  <si>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</si>
  <si>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</si>
  <si>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</si>
  <si>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</si>
  <si>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</si>
  <si>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</si>
  <si>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</si>
  <si>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</si>
  <si>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</si>
  <si>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</si>
  <si>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</si>
  <si>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</si>
  <si>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</si>
  <si>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</si>
  <si>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</si>
  <si>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</si>
  <si>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</si>
  <si>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</si>
  <si>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</si>
  <si>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</si>
  <si>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</si>
  <si>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</si>
  <si>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</si>
  <si>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</si>
  <si>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</si>
  <si>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</si>
  <si>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</si>
  <si>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</si>
  <si>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</si>
  <si>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</si>
  <si>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</si>
  <si>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</si>
  <si>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</si>
  <si>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</si>
  <si>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</si>
  <si>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</si>
  <si>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</si>
  <si>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</si>
  <si>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</si>
  <si>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</si>
  <si>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</si>
  <si>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</si>
  <si>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</si>
  <si>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</si>
  <si>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</si>
  <si>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</si>
  <si>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</si>
  <si>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</si>
  <si>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</si>
  <si>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</si>
  <si>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</si>
  <si>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</si>
  <si>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</si>
  <si>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</si>
  <si>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</si>
  <si>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</si>
  <si>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</si>
  <si>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</si>
  <si>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</si>
  <si>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</si>
  <si>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</si>
  <si>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</si>
  <si>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</si>
  <si>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</si>
  <si>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</si>
  <si>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</si>
  <si>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</si>
  <si>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</si>
  <si>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</si>
  <si>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</si>
  <si>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</si>
  <si>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</si>
  <si>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</si>
  <si>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</si>
  <si>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</si>
  <si>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</si>
  <si>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</si>
  <si>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</si>
  <si>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</si>
  <si>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</si>
  <si>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</si>
  <si>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</si>
  <si>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</si>
  <si>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</si>
  <si>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</si>
  <si>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</si>
  <si>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</si>
  <si>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</si>
  <si>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</si>
  <si>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</si>
  <si>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</si>
  <si>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</si>
  <si>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</si>
  <si>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</si>
  <si>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</si>
  <si>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</si>
  <si>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</si>
  <si>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</si>
  <si>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</si>
  <si>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</si>
  <si>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</si>
  <si>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</si>
  <si>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</si>
  <si>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</si>
  <si>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</si>
  <si>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</si>
  <si>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</si>
  <si>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</si>
  <si>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</si>
  <si>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</si>
  <si>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</si>
  <si>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</si>
  <si>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</si>
  <si>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</si>
  <si>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</si>
  <si>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</si>
  <si>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</si>
  <si>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</si>
  <si>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</si>
  <si>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</si>
  <si>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</si>
  <si>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</si>
  <si>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</si>
  <si>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</si>
  <si>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</si>
  <si>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</si>
  <si>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</si>
  <si>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</si>
  <si>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</si>
  <si>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</si>
  <si>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</si>
  <si>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</si>
  <si>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</si>
  <si>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</si>
  <si>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</si>
  <si>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</si>
  <si>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</si>
  <si>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</si>
  <si>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</si>
  <si>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</si>
  <si>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</si>
  <si>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</si>
  <si>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</si>
  <si>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</si>
  <si>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</si>
  <si>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</si>
  <si>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</si>
  <si>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</si>
  <si>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</si>
  <si>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</si>
  <si>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</si>
  <si>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</si>
  <si>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</si>
  <si>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</si>
  <si>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</si>
  <si>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</si>
  <si>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</si>
  <si>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</si>
  <si>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</si>
  <si>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</si>
  <si>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</si>
  <si>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</si>
  <si>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</si>
  <si>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</si>
  <si>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</si>
  <si>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</si>
  <si>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</si>
  <si>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</si>
  <si>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</si>
  <si>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</si>
  <si>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</si>
  <si>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</si>
  <si>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</si>
  <si>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</si>
  <si>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</si>
  <si>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</si>
  <si>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</si>
  <si>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</si>
  <si>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</si>
  <si>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</si>
  <si>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</si>
  <si>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</si>
  <si>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</si>
  <si>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</si>
  <si>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</si>
  <si>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</si>
  <si>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</si>
  <si>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</si>
  <si>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</si>
  <si>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</si>
  <si>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</si>
  <si>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</si>
  <si>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</si>
  <si>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</si>
  <si>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</si>
  <si>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</si>
  <si>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</si>
  <si>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</si>
  <si>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</si>
  <si>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</si>
  <si>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</si>
  <si>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</si>
  <si>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</si>
  <si>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</si>
  <si>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</si>
  <si>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</si>
  <si>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</si>
  <si>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</si>
  <si>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</si>
  <si>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</si>
  <si>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</si>
  <si>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</si>
  <si>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</si>
  <si>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</si>
  <si>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</si>
  <si>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</si>
  <si>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</si>
  <si>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</si>
  <si>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</si>
  <si>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</si>
  <si>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</si>
  <si>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</si>
  <si>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</si>
  <si>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</si>
  <si>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</si>
  <si>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</si>
  <si>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</si>
  <si>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</si>
  <si>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</si>
  <si>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</si>
  <si>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</si>
  <si>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</si>
  <si>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</si>
  <si>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</si>
  <si>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</si>
  <si>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</si>
  <si>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</si>
  <si>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</si>
  <si>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</si>
  <si>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</si>
  <si>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</si>
  <si>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</si>
  <si>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</si>
  <si>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</si>
  <si>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</si>
  <si>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</si>
  <si>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</si>
  <si>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</si>
  <si>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</si>
  <si>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</si>
  <si>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</si>
  <si>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</si>
  <si>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</si>
  <si>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</si>
  <si>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</si>
  <si>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</si>
  <si>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</si>
  <si>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</si>
  <si>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</si>
  <si>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</si>
  <si>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</si>
  <si>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</si>
  <si>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</si>
  <si>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</si>
  <si>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</si>
  <si>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</si>
  <si>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</si>
  <si>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</si>
  <si>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</si>
  <si>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</si>
  <si>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</si>
  <si>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</si>
  <si>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</si>
  <si>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</si>
  <si>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</si>
  <si>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</si>
  <si>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</si>
  <si>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</si>
  <si>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</si>
  <si>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</si>
  <si>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</si>
  <si>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</si>
  <si>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</si>
  <si>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</si>
  <si>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</si>
  <si>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</si>
  <si>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</si>
  <si>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</si>
  <si>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</si>
  <si>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</si>
  <si>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</si>
  <si>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</si>
  <si>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</si>
  <si>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</si>
  <si>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</si>
  <si>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</si>
  <si>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</si>
  <si>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</si>
  <si>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</si>
  <si>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</si>
  <si>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</si>
  <si>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</si>
  <si>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</si>
  <si>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</si>
  <si>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</si>
  <si>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</si>
  <si>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</si>
  <si>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</si>
  <si>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</si>
  <si>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</si>
  <si>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</si>
  <si>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</si>
  <si>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</si>
  <si>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</si>
  <si>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</si>
  <si>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</si>
  <si>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</si>
  <si>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</si>
  <si>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</si>
  <si>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</si>
  <si>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</si>
  <si>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</si>
  <si>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</si>
  <si>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</si>
  <si>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</si>
  <si>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</si>
  <si>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</si>
  <si>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</si>
  <si>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</si>
  <si>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</si>
  <si>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</si>
  <si>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</si>
  <si>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</si>
  <si>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</si>
  <si>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</si>
  <si>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</si>
  <si>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</si>
  <si>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</si>
  <si>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</si>
  <si>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</si>
  <si>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</si>
  <si>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</si>
  <si>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</si>
  <si>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</si>
  <si>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</si>
  <si>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</si>
  <si>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</si>
  <si>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</si>
  <si>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</si>
  <si>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</si>
  <si>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</si>
  <si>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</si>
  <si>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</si>
  <si>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</si>
  <si>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</si>
  <si>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</si>
  <si>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</si>
  <si>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</si>
  <si>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</si>
  <si>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</si>
  <si>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</si>
  <si>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</si>
  <si>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</si>
  <si>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</si>
  <si>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</si>
  <si>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</si>
  <si>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</si>
  <si>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</si>
  <si>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</si>
  <si>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</si>
  <si>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</si>
  <si>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</si>
  <si>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</si>
  <si>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</si>
  <si>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</si>
  <si>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</si>
  <si>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</si>
  <si>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</si>
  <si>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</si>
  <si>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</si>
  <si>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</si>
  <si>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</si>
  <si>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</si>
  <si>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</si>
  <si>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</si>
  <si>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</si>
  <si>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</si>
  <si>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</si>
  <si>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</si>
  <si>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</si>
  <si>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</si>
  <si>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</si>
  <si>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</si>
  <si>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</si>
  <si>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</si>
  <si>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</si>
  <si>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</si>
  <si>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</si>
  <si>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</si>
  <si>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</si>
  <si>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</si>
  <si>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</si>
  <si>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</si>
  <si>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</si>
  <si>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</si>
  <si>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</si>
  <si>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</si>
  <si>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</si>
  <si>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</si>
  <si>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</si>
  <si>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</si>
  <si>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</si>
  <si>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</si>
  <si>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</si>
  <si>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</si>
  <si>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</si>
  <si>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</si>
  <si>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</si>
  <si>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</si>
  <si>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</si>
  <si>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</si>
  <si>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</si>
  <si>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</si>
  <si>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</si>
  <si>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</si>
  <si>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</si>
  <si>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</si>
  <si>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</si>
  <si>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</si>
  <si>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</si>
  <si>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</si>
  <si>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</si>
  <si>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</si>
  <si>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</si>
  <si>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</si>
  <si>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</si>
  <si>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</si>
  <si>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</si>
  <si>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</si>
  <si>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</si>
  <si>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</si>
  <si>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</si>
  <si>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</si>
  <si>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</si>
  <si>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</si>
  <si>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</si>
  <si>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</si>
  <si>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</si>
  <si>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</si>
  <si>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</si>
  <si>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</si>
  <si>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</si>
  <si>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</si>
  <si>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</si>
  <si>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</si>
  <si>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</si>
  <si>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</si>
  <si>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</si>
  <si>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</si>
  <si>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</si>
  <si>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</si>
  <si>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</si>
  <si>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</si>
  <si>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</si>
  <si>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</si>
  <si>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</si>
  <si>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</si>
  <si>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</si>
  <si>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</si>
  <si>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</si>
  <si>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</si>
  <si>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</si>
  <si>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</si>
  <si>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</si>
  <si>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</si>
  <si>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</si>
  <si>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</si>
  <si>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</si>
  <si>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</si>
  <si>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</si>
  <si>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</si>
  <si>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</si>
  <si>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</si>
  <si>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</si>
  <si>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</si>
  <si>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</si>
  <si>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</si>
  <si>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</si>
  <si>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</si>
  <si>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</si>
  <si>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</si>
  <si>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</si>
  <si>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</si>
  <si>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</si>
  <si>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</si>
  <si>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</si>
  <si>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</si>
  <si>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</si>
  <si>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</si>
  <si>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</si>
  <si>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</si>
  <si>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</si>
  <si>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</si>
  <si>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</si>
  <si>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</si>
  <si>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</si>
  <si>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</si>
  <si>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</si>
  <si>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</si>
  <si>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</si>
  <si>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</si>
  <si>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</si>
  <si>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</si>
  <si>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</si>
  <si>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</si>
  <si>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</si>
  <si>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</si>
  <si>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</si>
  <si>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</si>
  <si>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</si>
  <si>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</si>
  <si>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</si>
  <si>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</si>
  <si>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</si>
  <si>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</si>
  <si>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</si>
  <si>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</si>
  <si>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</si>
  <si>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</si>
  <si>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</si>
  <si>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</si>
  <si>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</si>
  <si>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</si>
  <si>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</si>
  <si>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</si>
  <si>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</si>
  <si>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</si>
  <si>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</si>
  <si>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</si>
  <si>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</si>
  <si>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</si>
  <si>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</si>
  <si>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</si>
  <si>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</si>
  <si>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</si>
  <si>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</si>
  <si>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</si>
  <si>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</si>
  <si>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</si>
  <si>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</si>
  <si>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</si>
  <si>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</si>
  <si>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</si>
  <si>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</si>
  <si>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</si>
  <si>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</si>
  <si>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</si>
  <si>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</si>
  <si>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</si>
  <si>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</si>
  <si>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</si>
  <si>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</si>
  <si>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</si>
  <si>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</si>
  <si>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</si>
  <si>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</si>
  <si>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</si>
  <si>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</si>
  <si>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</si>
  <si>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</si>
  <si>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</si>
  <si>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</si>
  <si>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</si>
  <si>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</si>
  <si>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</si>
  <si>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</si>
  <si>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</si>
  <si>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</si>
  <si>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</si>
  <si>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</si>
  <si>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</si>
  <si>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</si>
  <si>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</si>
  <si>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</si>
  <si>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</si>
  <si>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</si>
  <si>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</si>
  <si>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</si>
  <si>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</si>
  <si>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</si>
  <si>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</si>
  <si>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</si>
  <si>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</si>
  <si>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</si>
  <si>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</si>
  <si>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</si>
  <si>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</si>
  <si>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</si>
  <si>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</si>
  <si>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</si>
  <si>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</si>
  <si>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</si>
  <si>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</si>
  <si>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</si>
  <si>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</si>
  <si>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</si>
  <si>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</si>
  <si>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</si>
  <si>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</si>
  <si>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</si>
  <si>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</si>
  <si>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</si>
  <si>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</si>
  <si>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</si>
  <si>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</si>
  <si>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</si>
  <si>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</si>
  <si>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</si>
  <si>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</si>
  <si>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</si>
  <si>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</si>
  <si>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</si>
  <si>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</si>
  <si>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</si>
  <si>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</si>
  <si>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</si>
  <si>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</si>
  <si>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</si>
  <si>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</si>
  <si>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</si>
  <si>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</si>
  <si>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</si>
  <si>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</si>
  <si>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</si>
  <si>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</si>
  <si>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</si>
  <si>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</si>
  <si>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</si>
  <si>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</si>
  <si>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</si>
  <si>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</si>
  <si>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</si>
  <si>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</si>
  <si>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</si>
  <si>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</si>
  <si>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</si>
  <si>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</si>
  <si>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</si>
  <si>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</si>
  <si>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</si>
  <si>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</si>
  <si>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</si>
  <si>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</si>
  <si>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</si>
  <si>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</si>
  <si>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</si>
  <si>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</si>
  <si>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</si>
  <si>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</si>
  <si>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</si>
  <si>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</si>
  <si>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</si>
  <si>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</si>
  <si>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</si>
  <si>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</si>
  <si>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</si>
  <si>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</si>
  <si>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</si>
  <si>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</si>
  <si>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</si>
  <si>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</si>
  <si>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</si>
  <si>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</si>
  <si>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</si>
  <si>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</si>
  <si>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</si>
  <si>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</si>
  <si>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</si>
  <si>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</si>
  <si>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</si>
  <si>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</si>
  <si>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</si>
  <si>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</si>
  <si>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</si>
  <si>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</si>
  <si>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</si>
  <si>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</si>
  <si>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</si>
  <si>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</si>
  <si>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</si>
  <si>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</si>
  <si>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</si>
  <si>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</si>
  <si>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</si>
  <si>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</si>
  <si>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</si>
  <si>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</si>
  <si>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</si>
  <si>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</si>
  <si>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</si>
  <si>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</si>
  <si>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</si>
  <si>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</si>
  <si>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</si>
  <si>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</si>
  <si>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</si>
  <si>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</si>
  <si>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</si>
  <si>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</si>
  <si>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</si>
  <si>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</si>
  <si>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</si>
  <si>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</si>
  <si>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</si>
  <si>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</si>
  <si>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</si>
  <si>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</si>
  <si>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</si>
  <si>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</si>
  <si>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</si>
  <si>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</si>
  <si>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</si>
  <si>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</si>
  <si>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</si>
  <si>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</si>
  <si>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</si>
  <si>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</si>
  <si>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</si>
  <si>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</si>
  <si>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</si>
  <si>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</si>
  <si>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</si>
  <si>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</si>
  <si>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</si>
  <si>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</si>
  <si>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</si>
  <si>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</si>
  <si>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</si>
  <si>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</si>
  <si>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</si>
  <si>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</si>
  <si>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</si>
  <si>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</si>
  <si>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</si>
  <si>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</si>
  <si>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</si>
  <si>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</si>
  <si>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</si>
  <si>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</si>
  <si>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</si>
  <si>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</si>
  <si>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</si>
  <si>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</si>
  <si>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</si>
  <si>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</si>
  <si>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</si>
  <si>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</si>
  <si>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</si>
  <si>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</si>
  <si>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</si>
  <si>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</si>
  <si>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</si>
  <si>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</si>
  <si>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</si>
  <si>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</si>
  <si>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</si>
  <si>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</si>
  <si>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</si>
  <si>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</si>
  <si>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01/11</t>
  </si>
  <si>
    <t>08/16</t>
  </si>
  <si>
    <t>Waterville Valley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</si>
</sst>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F579" sqref="F57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553</v>
      </c>
      <c r="C2" s="21">
        <v>553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73351.37</v>
      </c>
      <c r="G9" s="18">
        <v>-979.21</v>
      </c>
      <c r="H9" s="18">
        <v>-1540.65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79.47</v>
      </c>
      <c r="H13" s="18">
        <v>1540.65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73351.37</v>
      </c>
      <c r="G19" s="41">
        <f>SUM(G9:G18)</f>
        <v>-899.74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17186.89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17186.89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21723.57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-899.74</v>
      </c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34440.910000000003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56164.480000000003</v>
      </c>
      <c r="G51" s="41">
        <f>SUM(G35:G50)</f>
        <v>-899.74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73351.37</v>
      </c>
      <c r="G52" s="41">
        <f>G51+G32</f>
        <v>-899.74</v>
      </c>
      <c r="H52" s="41">
        <f>H51+H32</f>
        <v>0</v>
      </c>
      <c r="I52" s="41">
        <f>I51+I32</f>
        <v>0</v>
      </c>
      <c r="J52" s="41">
        <f>J51+J32</f>
        <v>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298331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65354</v>
      </c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363685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37000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37000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46.95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809.15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1195.78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1242.73</v>
      </c>
      <c r="G111" s="41">
        <f>SUM(G96:G110)</f>
        <v>809.15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401927.73</v>
      </c>
      <c r="G112" s="41">
        <f>G60+G111</f>
        <v>809.15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788956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788956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788956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1540.65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240.2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17257.189999999999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240.2</v>
      </c>
      <c r="H162" s="41">
        <f>SUM(H150:H161)</f>
        <v>18797.84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24146.45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24146.45</v>
      </c>
      <c r="G169" s="41">
        <f>G147+G162+SUM(G163:G168)</f>
        <v>240.2</v>
      </c>
      <c r="H169" s="41">
        <f>H147+H162+SUM(H163:H168)</f>
        <v>18797.84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1215030.18</v>
      </c>
      <c r="G193" s="47">
        <f>G112+G140+G169+G192</f>
        <v>1049.3499999999999</v>
      </c>
      <c r="H193" s="47">
        <f>H112+H140+H169+H192</f>
        <v>18797.84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252097.24</v>
      </c>
      <c r="G197" s="18">
        <v>111089.56</v>
      </c>
      <c r="H197" s="18">
        <v>9852.6</v>
      </c>
      <c r="I197" s="18">
        <v>9247.06</v>
      </c>
      <c r="J197" s="18">
        <v>218.65</v>
      </c>
      <c r="K197" s="18">
        <v>342.98</v>
      </c>
      <c r="L197" s="19">
        <f>SUM(F197:K197)</f>
        <v>382848.08999999997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52012.14</v>
      </c>
      <c r="G198" s="18">
        <v>12311.31</v>
      </c>
      <c r="H198" s="18">
        <v>4493.62</v>
      </c>
      <c r="I198" s="18">
        <v>67.63</v>
      </c>
      <c r="J198" s="18">
        <v>273.52</v>
      </c>
      <c r="K198" s="18">
        <v>204</v>
      </c>
      <c r="L198" s="19">
        <f>SUM(F198:K198)</f>
        <v>69362.22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2581.58</v>
      </c>
      <c r="G200" s="18">
        <v>270.27999999999997</v>
      </c>
      <c r="H200" s="18"/>
      <c r="I200" s="18">
        <v>820.11</v>
      </c>
      <c r="J200" s="18"/>
      <c r="K200" s="18"/>
      <c r="L200" s="19">
        <f>SUM(F200:K200)</f>
        <v>3671.97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8299.7999999999993</v>
      </c>
      <c r="G202" s="18">
        <v>2607.75</v>
      </c>
      <c r="H202" s="18">
        <v>20676.650000000001</v>
      </c>
      <c r="I202" s="18">
        <v>569.1</v>
      </c>
      <c r="J202" s="18"/>
      <c r="K202" s="18">
        <v>155</v>
      </c>
      <c r="L202" s="19">
        <f t="shared" ref="L202:L208" si="0">SUM(F202:K202)</f>
        <v>32308.3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3612.79</v>
      </c>
      <c r="G203" s="18">
        <v>13183.7</v>
      </c>
      <c r="H203" s="18"/>
      <c r="I203" s="18">
        <v>7184.08</v>
      </c>
      <c r="J203" s="18"/>
      <c r="K203" s="18"/>
      <c r="L203" s="19">
        <f t="shared" si="0"/>
        <v>23980.57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2000</v>
      </c>
      <c r="G204" s="18">
        <v>153</v>
      </c>
      <c r="H204" s="18">
        <v>79483.81</v>
      </c>
      <c r="I204" s="18"/>
      <c r="J204" s="18"/>
      <c r="K204" s="18">
        <v>2245.2600000000002</v>
      </c>
      <c r="L204" s="19">
        <f t="shared" si="0"/>
        <v>83882.069999999992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112678.51</v>
      </c>
      <c r="G205" s="18">
        <v>51283.91</v>
      </c>
      <c r="H205" s="18">
        <v>478.55</v>
      </c>
      <c r="I205" s="18">
        <v>2701.68</v>
      </c>
      <c r="J205" s="18"/>
      <c r="K205" s="18">
        <v>1104</v>
      </c>
      <c r="L205" s="19">
        <f t="shared" si="0"/>
        <v>168246.64999999997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>
        <v>2.23</v>
      </c>
      <c r="L206" s="19">
        <f t="shared" si="0"/>
        <v>2.23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1485</v>
      </c>
      <c r="G207" s="18">
        <v>113.58</v>
      </c>
      <c r="H207" s="18">
        <v>40643</v>
      </c>
      <c r="I207" s="18">
        <v>40861.89</v>
      </c>
      <c r="J207" s="18">
        <v>50621.72</v>
      </c>
      <c r="K207" s="18"/>
      <c r="L207" s="19">
        <f t="shared" si="0"/>
        <v>133725.19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5021.34</v>
      </c>
      <c r="I208" s="18"/>
      <c r="J208" s="18"/>
      <c r="K208" s="18"/>
      <c r="L208" s="19">
        <f t="shared" si="0"/>
        <v>5021.34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434767.06</v>
      </c>
      <c r="G211" s="41">
        <f t="shared" si="1"/>
        <v>191013.09</v>
      </c>
      <c r="H211" s="41">
        <f t="shared" si="1"/>
        <v>160649.56999999998</v>
      </c>
      <c r="I211" s="41">
        <f t="shared" si="1"/>
        <v>61451.55</v>
      </c>
      <c r="J211" s="41">
        <f t="shared" si="1"/>
        <v>51113.89</v>
      </c>
      <c r="K211" s="41">
        <f t="shared" si="1"/>
        <v>4053.4700000000003</v>
      </c>
      <c r="L211" s="41">
        <f t="shared" si="1"/>
        <v>903048.62999999977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111505.94</v>
      </c>
      <c r="I233" s="18"/>
      <c r="J233" s="18"/>
      <c r="K233" s="18"/>
      <c r="L233" s="19">
        <f>SUM(F233:K233)</f>
        <v>111505.94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16555.95</v>
      </c>
      <c r="I234" s="18"/>
      <c r="J234" s="18"/>
      <c r="K234" s="18"/>
      <c r="L234" s="19">
        <f>SUM(F234:K234)</f>
        <v>16555.95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128061.89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128061.89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116739.98</v>
      </c>
      <c r="I255" s="18"/>
      <c r="J255" s="18"/>
      <c r="K255" s="18"/>
      <c r="L255" s="19">
        <f t="shared" si="6"/>
        <v>116739.98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116739.98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116739.98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434767.06</v>
      </c>
      <c r="G257" s="41">
        <f t="shared" si="8"/>
        <v>191013.09</v>
      </c>
      <c r="H257" s="41">
        <f t="shared" si="8"/>
        <v>405451.43999999994</v>
      </c>
      <c r="I257" s="41">
        <f t="shared" si="8"/>
        <v>61451.55</v>
      </c>
      <c r="J257" s="41">
        <f t="shared" si="8"/>
        <v>51113.89</v>
      </c>
      <c r="K257" s="41">
        <f t="shared" si="8"/>
        <v>4053.4700000000003</v>
      </c>
      <c r="L257" s="41">
        <f t="shared" si="8"/>
        <v>1147850.4999999998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75000</v>
      </c>
      <c r="L260" s="19">
        <f>SUM(F260:K260)</f>
        <v>75000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5904.11</v>
      </c>
      <c r="L261" s="19">
        <f>SUM(F261:K261)</f>
        <v>5904.11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80904.11</v>
      </c>
      <c r="L270" s="41">
        <f t="shared" si="9"/>
        <v>80904.11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434767.06</v>
      </c>
      <c r="G271" s="42">
        <f t="shared" si="11"/>
        <v>191013.09</v>
      </c>
      <c r="H271" s="42">
        <f t="shared" si="11"/>
        <v>405451.43999999994</v>
      </c>
      <c r="I271" s="42">
        <f t="shared" si="11"/>
        <v>61451.55</v>
      </c>
      <c r="J271" s="42">
        <f t="shared" si="11"/>
        <v>51113.89</v>
      </c>
      <c r="K271" s="42">
        <f t="shared" si="11"/>
        <v>84957.58</v>
      </c>
      <c r="L271" s="42">
        <f t="shared" si="11"/>
        <v>1228754.6099999999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>
        <v>5675</v>
      </c>
      <c r="I276" s="18"/>
      <c r="J276" s="18">
        <v>2997.9</v>
      </c>
      <c r="K276" s="18"/>
      <c r="L276" s="19">
        <f>SUM(F276:K276)</f>
        <v>8672.9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7194</v>
      </c>
      <c r="I282" s="18"/>
      <c r="J282" s="18">
        <v>2884.29</v>
      </c>
      <c r="K282" s="18"/>
      <c r="L282" s="19">
        <f t="shared" si="12"/>
        <v>10078.290000000001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46.65</v>
      </c>
      <c r="L285" s="19">
        <f t="shared" si="12"/>
        <v>46.65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12869</v>
      </c>
      <c r="I290" s="42">
        <f t="shared" si="13"/>
        <v>0</v>
      </c>
      <c r="J290" s="42">
        <f t="shared" si="13"/>
        <v>5882.1900000000005</v>
      </c>
      <c r="K290" s="42">
        <f t="shared" si="13"/>
        <v>46.65</v>
      </c>
      <c r="L290" s="41">
        <f t="shared" si="13"/>
        <v>18797.840000000004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12869</v>
      </c>
      <c r="I338" s="41">
        <f t="shared" si="20"/>
        <v>0</v>
      </c>
      <c r="J338" s="41">
        <f t="shared" si="20"/>
        <v>5882.1900000000005</v>
      </c>
      <c r="K338" s="41">
        <f t="shared" si="20"/>
        <v>46.65</v>
      </c>
      <c r="L338" s="41">
        <f t="shared" si="20"/>
        <v>18797.840000000004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12869</v>
      </c>
      <c r="I352" s="41">
        <f>I338</f>
        <v>0</v>
      </c>
      <c r="J352" s="41">
        <f>J338</f>
        <v>5882.1900000000005</v>
      </c>
      <c r="K352" s="47">
        <f>K338+K351</f>
        <v>46.65</v>
      </c>
      <c r="L352" s="41">
        <f>L338+L351</f>
        <v>18797.840000000004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>
        <v>1949.09</v>
      </c>
      <c r="J358" s="18"/>
      <c r="K358" s="18"/>
      <c r="L358" s="13">
        <f>SUM(F358:K358)</f>
        <v>1949.09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1949.09</v>
      </c>
      <c r="J362" s="47">
        <f t="shared" si="22"/>
        <v>0</v>
      </c>
      <c r="K362" s="47">
        <f t="shared" si="22"/>
        <v>0</v>
      </c>
      <c r="L362" s="47">
        <f t="shared" si="22"/>
        <v>1949.09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1908.64</v>
      </c>
      <c r="G367" s="18"/>
      <c r="H367" s="18"/>
      <c r="I367" s="56">
        <f>SUM(F367:H367)</f>
        <v>1908.64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40.450000000000003</v>
      </c>
      <c r="G368" s="63"/>
      <c r="H368" s="63"/>
      <c r="I368" s="56">
        <f>SUM(F368:H368)</f>
        <v>40.450000000000003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1949.0900000000001</v>
      </c>
      <c r="G369" s="47">
        <f>SUM(G367:G368)</f>
        <v>0</v>
      </c>
      <c r="H369" s="47">
        <f>SUM(H367:H368)</f>
        <v>0</v>
      </c>
      <c r="I369" s="47">
        <f>SUM(I367:I368)</f>
        <v>1949.0900000000001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69888.91</v>
      </c>
      <c r="G465" s="18"/>
      <c r="H465" s="18"/>
      <c r="I465" s="18"/>
      <c r="J465" s="18"/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1215030.18</v>
      </c>
      <c r="G468" s="18">
        <v>1049.3499999999999</v>
      </c>
      <c r="H468" s="18">
        <v>18797.84</v>
      </c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1215030.18</v>
      </c>
      <c r="G470" s="53">
        <f>SUM(G468:G469)</f>
        <v>1049.3499999999999</v>
      </c>
      <c r="H470" s="53">
        <f>SUM(H468:H469)</f>
        <v>18797.84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1228754.6100000001</v>
      </c>
      <c r="G472" s="18">
        <v>1949.09</v>
      </c>
      <c r="H472" s="18">
        <v>18797.84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1228754.6100000001</v>
      </c>
      <c r="G474" s="53">
        <f>SUM(G472:G473)</f>
        <v>1949.09</v>
      </c>
      <c r="H474" s="53">
        <f>SUM(H472:H473)</f>
        <v>18797.84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56164.479999999749</v>
      </c>
      <c r="G476" s="53">
        <f>(G465+G470)- G474</f>
        <v>-899.74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7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388105.5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2.97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238105.5</v>
      </c>
      <c r="G495" s="18"/>
      <c r="H495" s="18"/>
      <c r="I495" s="18"/>
      <c r="J495" s="18"/>
      <c r="K495" s="53">
        <f>SUM(F495:J495)</f>
        <v>238105.5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75000</v>
      </c>
      <c r="G497" s="18"/>
      <c r="H497" s="18"/>
      <c r="I497" s="18"/>
      <c r="J497" s="18"/>
      <c r="K497" s="53">
        <f t="shared" si="35"/>
        <v>75000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163105.5</v>
      </c>
      <c r="G498" s="204"/>
      <c r="H498" s="204"/>
      <c r="I498" s="204"/>
      <c r="J498" s="204"/>
      <c r="K498" s="205">
        <f t="shared" si="35"/>
        <v>163105.5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5409.24</v>
      </c>
      <c r="G499" s="18"/>
      <c r="H499" s="18"/>
      <c r="I499" s="18"/>
      <c r="J499" s="18"/>
      <c r="K499" s="53">
        <f t="shared" si="35"/>
        <v>5409.24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168514.74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168514.74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75000</v>
      </c>
      <c r="G501" s="204"/>
      <c r="H501" s="204"/>
      <c r="I501" s="204"/>
      <c r="J501" s="204"/>
      <c r="K501" s="205">
        <f t="shared" si="35"/>
        <v>75000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3721.33</v>
      </c>
      <c r="G502" s="18"/>
      <c r="H502" s="18"/>
      <c r="I502" s="18"/>
      <c r="J502" s="18"/>
      <c r="K502" s="53">
        <f t="shared" si="35"/>
        <v>3721.33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78721.33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78721.33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52012.14</v>
      </c>
      <c r="G521" s="18">
        <v>12311.31</v>
      </c>
      <c r="H521" s="18">
        <v>4493.62</v>
      </c>
      <c r="I521" s="18">
        <v>67.63</v>
      </c>
      <c r="J521" s="18">
        <v>273.52</v>
      </c>
      <c r="K521" s="18">
        <v>204</v>
      </c>
      <c r="L521" s="88">
        <f>SUM(F521:K521)</f>
        <v>69362.22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52012.14</v>
      </c>
      <c r="G524" s="108">
        <f t="shared" ref="G524:L524" si="36">SUM(G521:G523)</f>
        <v>12311.31</v>
      </c>
      <c r="H524" s="108">
        <f t="shared" si="36"/>
        <v>4493.62</v>
      </c>
      <c r="I524" s="108">
        <f t="shared" si="36"/>
        <v>67.63</v>
      </c>
      <c r="J524" s="108">
        <f t="shared" si="36"/>
        <v>273.52</v>
      </c>
      <c r="K524" s="108">
        <f t="shared" si="36"/>
        <v>204</v>
      </c>
      <c r="L524" s="89">
        <f t="shared" si="36"/>
        <v>69362.22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1659.96</v>
      </c>
      <c r="G526" s="18">
        <v>521.54999999999995</v>
      </c>
      <c r="H526" s="18">
        <v>20228.650000000001</v>
      </c>
      <c r="I526" s="18">
        <v>113.82</v>
      </c>
      <c r="J526" s="18"/>
      <c r="K526" s="18">
        <v>31</v>
      </c>
      <c r="L526" s="88">
        <f>SUM(F526:K526)</f>
        <v>22554.980000000003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1659.96</v>
      </c>
      <c r="G529" s="89">
        <f t="shared" ref="G529:L529" si="37">SUM(G526:G528)</f>
        <v>521.54999999999995</v>
      </c>
      <c r="H529" s="89">
        <f t="shared" si="37"/>
        <v>20228.650000000001</v>
      </c>
      <c r="I529" s="89">
        <f t="shared" si="37"/>
        <v>113.82</v>
      </c>
      <c r="J529" s="89">
        <f t="shared" si="37"/>
        <v>0</v>
      </c>
      <c r="K529" s="89">
        <f t="shared" si="37"/>
        <v>31</v>
      </c>
      <c r="L529" s="89">
        <f t="shared" si="37"/>
        <v>22554.980000000003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6311.45</v>
      </c>
      <c r="G531" s="18">
        <v>2645.7</v>
      </c>
      <c r="H531" s="18">
        <v>134.27000000000001</v>
      </c>
      <c r="I531" s="18"/>
      <c r="J531" s="18"/>
      <c r="K531" s="18"/>
      <c r="L531" s="88">
        <f>SUM(F531:K531)</f>
        <v>9091.42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6311.45</v>
      </c>
      <c r="G534" s="89">
        <f t="shared" ref="G534:L534" si="38">SUM(G531:G533)</f>
        <v>2645.7</v>
      </c>
      <c r="H534" s="89">
        <f t="shared" si="38"/>
        <v>134.27000000000001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9091.42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59983.549999999996</v>
      </c>
      <c r="G545" s="89">
        <f t="shared" ref="G545:L545" si="41">G524+G529+G534+G539+G544</f>
        <v>15478.559999999998</v>
      </c>
      <c r="H545" s="89">
        <f t="shared" si="41"/>
        <v>24856.54</v>
      </c>
      <c r="I545" s="89">
        <f t="shared" si="41"/>
        <v>181.45</v>
      </c>
      <c r="J545" s="89">
        <f t="shared" si="41"/>
        <v>273.52</v>
      </c>
      <c r="K545" s="89">
        <f t="shared" si="41"/>
        <v>235</v>
      </c>
      <c r="L545" s="89">
        <f t="shared" si="41"/>
        <v>101008.62000000001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69362.22</v>
      </c>
      <c r="G549" s="87">
        <f>L526</f>
        <v>22554.980000000003</v>
      </c>
      <c r="H549" s="87">
        <f>L531</f>
        <v>9091.42</v>
      </c>
      <c r="I549" s="87">
        <f>L536</f>
        <v>0</v>
      </c>
      <c r="J549" s="87">
        <f>L541</f>
        <v>0</v>
      </c>
      <c r="K549" s="87">
        <f>SUM(F549:J549)</f>
        <v>101008.62000000001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69362.22</v>
      </c>
      <c r="G552" s="89">
        <f t="shared" si="42"/>
        <v>22554.980000000003</v>
      </c>
      <c r="H552" s="89">
        <f t="shared" si="42"/>
        <v>9091.42</v>
      </c>
      <c r="I552" s="89">
        <f t="shared" si="42"/>
        <v>0</v>
      </c>
      <c r="J552" s="89">
        <f t="shared" si="42"/>
        <v>0</v>
      </c>
      <c r="K552" s="89">
        <f t="shared" si="42"/>
        <v>101008.62000000001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111505.94</v>
      </c>
      <c r="I575" s="87">
        <f>SUM(F575:H575)</f>
        <v>111505.94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16555.95</v>
      </c>
      <c r="I579" s="87">
        <f t="shared" si="47"/>
        <v>16555.95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/>
      <c r="J591" s="18"/>
      <c r="K591" s="104">
        <f t="shared" ref="K591:K597" si="48">SUM(H591:J591)</f>
        <v>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5021.34</v>
      </c>
      <c r="I595" s="18"/>
      <c r="J595" s="18"/>
      <c r="K595" s="104">
        <f t="shared" si="48"/>
        <v>5021.34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5021.34</v>
      </c>
      <c r="I598" s="108">
        <f>SUM(I591:I597)</f>
        <v>0</v>
      </c>
      <c r="J598" s="108">
        <f>SUM(J591:J597)</f>
        <v>0</v>
      </c>
      <c r="K598" s="108">
        <f>SUM(K591:K597)</f>
        <v>5021.34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56996.08</v>
      </c>
      <c r="I604" s="18"/>
      <c r="J604" s="18"/>
      <c r="K604" s="104">
        <f>SUM(H604:J604)</f>
        <v>56996.08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56996.08</v>
      </c>
      <c r="I605" s="108">
        <f>SUM(I602:I604)</f>
        <v>0</v>
      </c>
      <c r="J605" s="108">
        <f>SUM(J602:J604)</f>
        <v>0</v>
      </c>
      <c r="K605" s="108">
        <f>SUM(K602:K604)</f>
        <v>56996.08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500</v>
      </c>
      <c r="G611" s="18">
        <v>38.26</v>
      </c>
      <c r="H611" s="18"/>
      <c r="I611" s="18"/>
      <c r="J611" s="18"/>
      <c r="K611" s="18"/>
      <c r="L611" s="88">
        <f>SUM(F611:K611)</f>
        <v>538.26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500</v>
      </c>
      <c r="G614" s="108">
        <f t="shared" si="49"/>
        <v>38.26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538.26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73351.37</v>
      </c>
      <c r="H617" s="109">
        <f>SUM(F52)</f>
        <v>73351.37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-899.74</v>
      </c>
      <c r="H618" s="109">
        <f>SUM(G52)</f>
        <v>-899.74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0</v>
      </c>
      <c r="H621" s="109">
        <f>SUM(J52)</f>
        <v>0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56164.480000000003</v>
      </c>
      <c r="H622" s="109">
        <f>F476</f>
        <v>56164.479999999749</v>
      </c>
      <c r="I622" s="121" t="s">
        <v>101</v>
      </c>
      <c r="J622" s="109">
        <f t="shared" ref="J622:J655" si="50">G622-H622</f>
        <v>2.5465851649641991E-10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-899.74</v>
      </c>
      <c r="H623" s="109">
        <f>G476</f>
        <v>-899.74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1215030.18</v>
      </c>
      <c r="H627" s="104">
        <f>SUM(F468)</f>
        <v>1215030.18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1049.3499999999999</v>
      </c>
      <c r="H628" s="104">
        <f>SUM(G468)</f>
        <v>1049.3499999999999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18797.84</v>
      </c>
      <c r="H629" s="104">
        <f>SUM(H468)</f>
        <v>18797.84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1228754.6099999999</v>
      </c>
      <c r="H632" s="104">
        <f>SUM(F472)</f>
        <v>1228754.6100000001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18797.840000000004</v>
      </c>
      <c r="H633" s="104">
        <f>SUM(H472)</f>
        <v>18797.84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1949.09</v>
      </c>
      <c r="H634" s="104">
        <f>I369</f>
        <v>1949.0900000000001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1949.09</v>
      </c>
      <c r="H635" s="104">
        <f>SUM(G472)</f>
        <v>1949.09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5021.34</v>
      </c>
      <c r="H647" s="104">
        <f>L208+L226+L244</f>
        <v>5021.34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56996.08</v>
      </c>
      <c r="H648" s="104">
        <f>(J257+J338)-(J255+J336)</f>
        <v>56996.08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5021.34</v>
      </c>
      <c r="H649" s="104">
        <f>H598</f>
        <v>5021.34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923795.55999999971</v>
      </c>
      <c r="G660" s="19">
        <f>(L229+L309+L359)</f>
        <v>0</v>
      </c>
      <c r="H660" s="19">
        <f>(L247+L328+L360)</f>
        <v>128061.89</v>
      </c>
      <c r="I660" s="19">
        <f>SUM(F660:H660)</f>
        <v>1051857.4499999997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809.15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809.15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5021.34</v>
      </c>
      <c r="G662" s="19">
        <f>(L226+L306)-(J226+J306)</f>
        <v>0</v>
      </c>
      <c r="H662" s="19">
        <f>(L244+L325)-(J244+J325)</f>
        <v>0</v>
      </c>
      <c r="I662" s="19">
        <f>SUM(F662:H662)</f>
        <v>5021.34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57534.340000000004</v>
      </c>
      <c r="G663" s="199">
        <f>SUM(G575:G587)+SUM(I602:I604)+L612</f>
        <v>0</v>
      </c>
      <c r="H663" s="199">
        <f>SUM(H575:H587)+SUM(J602:J604)+L613</f>
        <v>128061.89</v>
      </c>
      <c r="I663" s="19">
        <f>SUM(F663:H663)</f>
        <v>185596.23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860430.72999999975</v>
      </c>
      <c r="G664" s="19">
        <f>G660-SUM(G661:G663)</f>
        <v>0</v>
      </c>
      <c r="H664" s="19">
        <f>H660-SUM(H661:H663)</f>
        <v>0</v>
      </c>
      <c r="I664" s="19">
        <f>I660-SUM(I661:I663)</f>
        <v>860430.72999999975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33.520000000000003</v>
      </c>
      <c r="G665" s="248"/>
      <c r="H665" s="248"/>
      <c r="I665" s="19">
        <f>SUM(F665:H665)</f>
        <v>33.520000000000003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25669.17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25669.17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25669.17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25669.17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>&amp;CDOE 25 for 2013-2014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Waterville Valley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252097.24</v>
      </c>
      <c r="C9" s="229">
        <f>'DOE25'!G197+'DOE25'!G215+'DOE25'!G233+'DOE25'!G276+'DOE25'!G295+'DOE25'!G314</f>
        <v>111089.56</v>
      </c>
    </row>
    <row r="10" spans="1:3" x14ac:dyDescent="0.2">
      <c r="A10" t="s">
        <v>779</v>
      </c>
      <c r="B10" s="240">
        <v>233717.24</v>
      </c>
      <c r="C10" s="240">
        <v>107729.75</v>
      </c>
    </row>
    <row r="11" spans="1:3" x14ac:dyDescent="0.2">
      <c r="A11" t="s">
        <v>780</v>
      </c>
      <c r="B11" s="240">
        <v>14040</v>
      </c>
      <c r="C11" s="240">
        <v>2588.54</v>
      </c>
    </row>
    <row r="12" spans="1:3" x14ac:dyDescent="0.2">
      <c r="A12" t="s">
        <v>781</v>
      </c>
      <c r="B12" s="240">
        <v>4340</v>
      </c>
      <c r="C12" s="240">
        <v>771.27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252097.24</v>
      </c>
      <c r="C13" s="231">
        <f>SUM(C10:C12)</f>
        <v>111089.56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52012.14</v>
      </c>
      <c r="C18" s="229">
        <f>'DOE25'!G198+'DOE25'!G216+'DOE25'!G234+'DOE25'!G277+'DOE25'!G296+'DOE25'!G315</f>
        <v>12311.31</v>
      </c>
    </row>
    <row r="19" spans="1:3" x14ac:dyDescent="0.2">
      <c r="A19" t="s">
        <v>779</v>
      </c>
      <c r="B19" s="240">
        <v>36083.14</v>
      </c>
      <c r="C19" s="240">
        <v>9781.4599999999991</v>
      </c>
    </row>
    <row r="20" spans="1:3" x14ac:dyDescent="0.2">
      <c r="A20" t="s">
        <v>780</v>
      </c>
      <c r="B20" s="240">
        <v>14274</v>
      </c>
      <c r="C20" s="240">
        <v>2491.59</v>
      </c>
    </row>
    <row r="21" spans="1:3" x14ac:dyDescent="0.2">
      <c r="A21" t="s">
        <v>781</v>
      </c>
      <c r="B21" s="240">
        <v>1655</v>
      </c>
      <c r="C21" s="240">
        <v>38.26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52012.14</v>
      </c>
      <c r="C22" s="231">
        <f>SUM(C19:C21)</f>
        <v>12311.31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2581.58</v>
      </c>
      <c r="C36" s="235">
        <f>'DOE25'!G200+'DOE25'!G218+'DOE25'!G236+'DOE25'!G279+'DOE25'!G298+'DOE25'!G317</f>
        <v>270.27999999999997</v>
      </c>
    </row>
    <row r="37" spans="1:3" x14ac:dyDescent="0.2">
      <c r="A37" t="s">
        <v>779</v>
      </c>
      <c r="B37" s="240">
        <v>2581.58</v>
      </c>
      <c r="C37" s="240">
        <v>270.27999999999997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2581.58</v>
      </c>
      <c r="C40" s="231">
        <f>SUM(C37:C39)</f>
        <v>270.27999999999997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Waterville Valley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583944.16999999993</v>
      </c>
      <c r="D5" s="20">
        <f>SUM('DOE25'!L197:L200)+SUM('DOE25'!L215:L218)+SUM('DOE25'!L233:L236)-F5-G5</f>
        <v>582905.0199999999</v>
      </c>
      <c r="E5" s="243"/>
      <c r="F5" s="255">
        <f>SUM('DOE25'!J197:J200)+SUM('DOE25'!J215:J218)+SUM('DOE25'!J233:J236)</f>
        <v>492.16999999999996</v>
      </c>
      <c r="G5" s="53">
        <f>SUM('DOE25'!K197:K200)+SUM('DOE25'!K215:K218)+SUM('DOE25'!K233:K236)</f>
        <v>546.98</v>
      </c>
      <c r="H5" s="259"/>
    </row>
    <row r="6" spans="1:9" x14ac:dyDescent="0.2">
      <c r="A6" s="32">
        <v>2100</v>
      </c>
      <c r="B6" t="s">
        <v>801</v>
      </c>
      <c r="C6" s="245">
        <f t="shared" si="0"/>
        <v>32308.3</v>
      </c>
      <c r="D6" s="20">
        <f>'DOE25'!L202+'DOE25'!L220+'DOE25'!L238-F6-G6</f>
        <v>32153.3</v>
      </c>
      <c r="E6" s="243"/>
      <c r="F6" s="255">
        <f>'DOE25'!J202+'DOE25'!J220+'DOE25'!J238</f>
        <v>0</v>
      </c>
      <c r="G6" s="53">
        <f>'DOE25'!K202+'DOE25'!K220+'DOE25'!K238</f>
        <v>155</v>
      </c>
      <c r="H6" s="259"/>
    </row>
    <row r="7" spans="1:9" x14ac:dyDescent="0.2">
      <c r="A7" s="32">
        <v>2200</v>
      </c>
      <c r="B7" t="s">
        <v>834</v>
      </c>
      <c r="C7" s="245">
        <f t="shared" si="0"/>
        <v>23980.57</v>
      </c>
      <c r="D7" s="20">
        <f>'DOE25'!L203+'DOE25'!L221+'DOE25'!L239-F7-G7</f>
        <v>23980.57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48976.57</v>
      </c>
      <c r="D8" s="243"/>
      <c r="E8" s="20">
        <f>'DOE25'!L204+'DOE25'!L222+'DOE25'!L240-F8-G8-D9-D11</f>
        <v>46731.31</v>
      </c>
      <c r="F8" s="255">
        <f>'DOE25'!J204+'DOE25'!J222+'DOE25'!J240</f>
        <v>0</v>
      </c>
      <c r="G8" s="53">
        <f>'DOE25'!K204+'DOE25'!K222+'DOE25'!K240</f>
        <v>2245.2600000000002</v>
      </c>
      <c r="H8" s="259"/>
    </row>
    <row r="9" spans="1:9" x14ac:dyDescent="0.2">
      <c r="A9" s="32">
        <v>2310</v>
      </c>
      <c r="B9" t="s">
        <v>818</v>
      </c>
      <c r="C9" s="245">
        <f t="shared" si="0"/>
        <v>4234</v>
      </c>
      <c r="D9" s="244">
        <v>4234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30671.5</v>
      </c>
      <c r="D11" s="244">
        <v>30671.5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168246.64999999997</v>
      </c>
      <c r="D12" s="20">
        <f>'DOE25'!L205+'DOE25'!L223+'DOE25'!L241-F12-G12</f>
        <v>167142.64999999997</v>
      </c>
      <c r="E12" s="243"/>
      <c r="F12" s="255">
        <f>'DOE25'!J205+'DOE25'!J223+'DOE25'!J241</f>
        <v>0</v>
      </c>
      <c r="G12" s="53">
        <f>'DOE25'!K205+'DOE25'!K223+'DOE25'!K241</f>
        <v>1104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2.23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2.23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133725.19</v>
      </c>
      <c r="D14" s="20">
        <f>'DOE25'!L207+'DOE25'!L225+'DOE25'!L243-F14-G14</f>
        <v>83103.47</v>
      </c>
      <c r="E14" s="243"/>
      <c r="F14" s="255">
        <f>'DOE25'!J207+'DOE25'!J225+'DOE25'!J243</f>
        <v>50621.72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5021.34</v>
      </c>
      <c r="D15" s="20">
        <f>'DOE25'!L208+'DOE25'!L226+'DOE25'!L244-F15-G15</f>
        <v>5021.34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116739.98</v>
      </c>
      <c r="D22" s="243"/>
      <c r="E22" s="243"/>
      <c r="F22" s="255">
        <f>'DOE25'!L255+'DOE25'!L336</f>
        <v>116739.98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80904.11</v>
      </c>
      <c r="D25" s="243"/>
      <c r="E25" s="243"/>
      <c r="F25" s="258"/>
      <c r="G25" s="256"/>
      <c r="H25" s="257">
        <f>'DOE25'!L260+'DOE25'!L261+'DOE25'!L341+'DOE25'!L342</f>
        <v>80904.11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40.449999999999818</v>
      </c>
      <c r="D29" s="20">
        <f>'DOE25'!L358+'DOE25'!L359+'DOE25'!L360-'DOE25'!I367-F29-G29</f>
        <v>40.449999999999818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18797.840000000004</v>
      </c>
      <c r="D31" s="20">
        <f>'DOE25'!L290+'DOE25'!L309+'DOE25'!L328+'DOE25'!L333+'DOE25'!L334+'DOE25'!L335-F31-G31</f>
        <v>12869.000000000004</v>
      </c>
      <c r="E31" s="243"/>
      <c r="F31" s="255">
        <f>'DOE25'!J290+'DOE25'!J309+'DOE25'!J328+'DOE25'!J333+'DOE25'!J334+'DOE25'!J335</f>
        <v>5882.1900000000005</v>
      </c>
      <c r="G31" s="53">
        <f>'DOE25'!K290+'DOE25'!K309+'DOE25'!K328+'DOE25'!K333+'DOE25'!K334+'DOE25'!K335</f>
        <v>46.65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942121.2999999997</v>
      </c>
      <c r="E33" s="246">
        <f>SUM(E5:E31)</f>
        <v>50731.31</v>
      </c>
      <c r="F33" s="246">
        <f>SUM(F5:F31)</f>
        <v>173736.06</v>
      </c>
      <c r="G33" s="246">
        <f>SUM(G5:G31)</f>
        <v>4100.12</v>
      </c>
      <c r="H33" s="246">
        <f>SUM(H5:H31)</f>
        <v>80904.11</v>
      </c>
    </row>
    <row r="35" spans="2:8" ht="12" thickBot="1" x14ac:dyDescent="0.25">
      <c r="B35" s="253" t="s">
        <v>847</v>
      </c>
      <c r="D35" s="254">
        <f>E33</f>
        <v>50731.31</v>
      </c>
      <c r="E35" s="249"/>
    </row>
    <row r="36" spans="2:8" ht="12" thickTop="1" x14ac:dyDescent="0.2">
      <c r="B36" t="s">
        <v>815</v>
      </c>
      <c r="D36" s="20">
        <f>D33</f>
        <v>942121.2999999997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Waterville Valley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73351.37</v>
      </c>
      <c r="D8" s="95">
        <f>'DOE25'!G9</f>
        <v>-979.21</v>
      </c>
      <c r="E8" s="95">
        <f>'DOE25'!H9</f>
        <v>-1540.65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79.47</v>
      </c>
      <c r="E12" s="95">
        <f>'DOE25'!H13</f>
        <v>1540.65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73351.37</v>
      </c>
      <c r="D18" s="41">
        <f>SUM(D8:D17)</f>
        <v>-899.74</v>
      </c>
      <c r="E18" s="41">
        <f>SUM(E8:E17)</f>
        <v>0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17186.89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17186.89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21723.57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-899.74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34440.910000000003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56164.480000000003</v>
      </c>
      <c r="D50" s="41">
        <f>SUM(D34:D49)</f>
        <v>-899.74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73351.37</v>
      </c>
      <c r="D51" s="41">
        <f>D50+D31</f>
        <v>-899.74</v>
      </c>
      <c r="E51" s="41">
        <f>E50+E31</f>
        <v>0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363685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37000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46.95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809.15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1195.78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38242.729999999996</v>
      </c>
      <c r="D62" s="130">
        <f>SUM(D57:D61)</f>
        <v>809.15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401927.73</v>
      </c>
      <c r="D63" s="22">
        <f>D56+D62</f>
        <v>809.15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788956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788956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788956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240.2</v>
      </c>
      <c r="E88" s="95">
        <f>SUM('DOE25'!H153:H161)</f>
        <v>18797.84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24146.45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24146.45</v>
      </c>
      <c r="D91" s="131">
        <f>SUM(D85:D90)</f>
        <v>240.2</v>
      </c>
      <c r="E91" s="131">
        <f>SUM(E85:E90)</f>
        <v>18797.84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1215030.18</v>
      </c>
      <c r="D104" s="86">
        <f>D63+D81+D91+D103</f>
        <v>1049.3499999999999</v>
      </c>
      <c r="E104" s="86">
        <f>E63+E81+E91+E103</f>
        <v>18797.84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494354.02999999997</v>
      </c>
      <c r="D109" s="24" t="s">
        <v>289</v>
      </c>
      <c r="E109" s="95">
        <f>('DOE25'!L276)+('DOE25'!L295)+('DOE25'!L314)</f>
        <v>8672.9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85918.17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3671.97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583944.16999999993</v>
      </c>
      <c r="D115" s="86">
        <f>SUM(D109:D114)</f>
        <v>0</v>
      </c>
      <c r="E115" s="86">
        <f>SUM(E109:E114)</f>
        <v>8672.9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32308.3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23980.57</v>
      </c>
      <c r="D119" s="24" t="s">
        <v>289</v>
      </c>
      <c r="E119" s="95">
        <f>+('DOE25'!L282)+('DOE25'!L301)+('DOE25'!L320)</f>
        <v>10078.290000000001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83882.069999999992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168246.64999999997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2.23</v>
      </c>
      <c r="D122" s="24" t="s">
        <v>289</v>
      </c>
      <c r="E122" s="95">
        <f>+('DOE25'!L285)+('DOE25'!L304)+('DOE25'!L323)</f>
        <v>46.65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133725.19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5021.34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1949.09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447166.35</v>
      </c>
      <c r="D128" s="86">
        <f>SUM(D118:D127)</f>
        <v>1949.09</v>
      </c>
      <c r="E128" s="86">
        <f>SUM(E118:E127)</f>
        <v>10124.94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116739.98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5904.11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197644.08999999997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1228754.6099999999</v>
      </c>
      <c r="D145" s="86">
        <f>(D115+D128+D144)</f>
        <v>1949.09</v>
      </c>
      <c r="E145" s="86">
        <f>(E115+E128+E144)</f>
        <v>18797.84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7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01/11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388105.5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2.97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238105.5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238105.5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75000</v>
      </c>
    </row>
    <row r="159" spans="1:9" x14ac:dyDescent="0.2">
      <c r="A159" s="22" t="s">
        <v>35</v>
      </c>
      <c r="B159" s="137">
        <f>'DOE25'!F498</f>
        <v>163105.5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163105.5</v>
      </c>
    </row>
    <row r="160" spans="1:9" x14ac:dyDescent="0.2">
      <c r="A160" s="22" t="s">
        <v>36</v>
      </c>
      <c r="B160" s="137">
        <f>'DOE25'!F499</f>
        <v>5409.24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5409.24</v>
      </c>
    </row>
    <row r="161" spans="1:7" x14ac:dyDescent="0.2">
      <c r="A161" s="22" t="s">
        <v>37</v>
      </c>
      <c r="B161" s="137">
        <f>'DOE25'!F500</f>
        <v>168514.74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168514.74</v>
      </c>
    </row>
    <row r="162" spans="1:7" x14ac:dyDescent="0.2">
      <c r="A162" s="22" t="s">
        <v>38</v>
      </c>
      <c r="B162" s="137">
        <f>'DOE25'!F501</f>
        <v>75000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75000</v>
      </c>
    </row>
    <row r="163" spans="1:7" x14ac:dyDescent="0.2">
      <c r="A163" s="22" t="s">
        <v>39</v>
      </c>
      <c r="B163" s="137">
        <f>'DOE25'!F502</f>
        <v>3721.33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3721.33</v>
      </c>
    </row>
    <row r="164" spans="1:7" x14ac:dyDescent="0.2">
      <c r="A164" s="22" t="s">
        <v>246</v>
      </c>
      <c r="B164" s="137">
        <f>'DOE25'!F503</f>
        <v>78721.33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78721.33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Waterville Valley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25669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25669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503027</v>
      </c>
      <c r="D10" s="182">
        <f>ROUND((C10/$C$28)*100,1)</f>
        <v>47.6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85918</v>
      </c>
      <c r="D11" s="182">
        <f>ROUND((C11/$C$28)*100,1)</f>
        <v>8.1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3672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32308</v>
      </c>
      <c r="D15" s="182">
        <f t="shared" ref="D15:D27" si="0">ROUND((C15/$C$28)*100,1)</f>
        <v>3.1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34059</v>
      </c>
      <c r="D16" s="182">
        <f t="shared" si="0"/>
        <v>3.2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83882</v>
      </c>
      <c r="D17" s="182">
        <f t="shared" si="0"/>
        <v>7.9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168247</v>
      </c>
      <c r="D18" s="182">
        <f t="shared" si="0"/>
        <v>15.9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49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133725</v>
      </c>
      <c r="D20" s="182">
        <f t="shared" si="0"/>
        <v>12.7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5021</v>
      </c>
      <c r="D21" s="182">
        <f t="shared" si="0"/>
        <v>0.5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5904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1139.8499999999999</v>
      </c>
      <c r="D27" s="182">
        <f t="shared" si="0"/>
        <v>0.1</v>
      </c>
    </row>
    <row r="28" spans="1:4" x14ac:dyDescent="0.2">
      <c r="B28" s="187" t="s">
        <v>723</v>
      </c>
      <c r="C28" s="180">
        <f>SUM(C10:C27)</f>
        <v>1056951.8500000001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116740</v>
      </c>
    </row>
    <row r="30" spans="1:4" x14ac:dyDescent="0.2">
      <c r="B30" s="187" t="s">
        <v>729</v>
      </c>
      <c r="C30" s="180">
        <f>SUM(C28:C29)</f>
        <v>1173691.8500000001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363685</v>
      </c>
      <c r="D35" s="182">
        <f t="shared" ref="D35:D40" si="1">ROUND((C35/$C$41)*100,1)</f>
        <v>29.5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38242.729999999981</v>
      </c>
      <c r="D36" s="182">
        <f t="shared" si="1"/>
        <v>3.1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788956</v>
      </c>
      <c r="D37" s="182">
        <f t="shared" si="1"/>
        <v>63.9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43184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1234067.73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Waterville Valley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2014-08-19T12:19:14Z</cp:lastPrinted>
  <dcterms:created xsi:type="dcterms:W3CDTF">1997-12-04T19:04:30Z</dcterms:created>
  <dcterms:modified xsi:type="dcterms:W3CDTF">2014-08-26T18:00:15Z</dcterms:modified>
</cp:coreProperties>
</file>