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L251" i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E109" i="2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E131" i="2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F85" i="2" s="1"/>
  <c r="I162" i="1"/>
  <c r="L250" i="1"/>
  <c r="L332" i="1"/>
  <c r="E113" i="2" s="1"/>
  <c r="L254" i="1"/>
  <c r="L268" i="1"/>
  <c r="L269" i="1"/>
  <c r="L349" i="1"/>
  <c r="E142" i="2" s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G461" i="1" s="1"/>
  <c r="H640" i="1" s="1"/>
  <c r="H452" i="1"/>
  <c r="F460" i="1"/>
  <c r="G460" i="1"/>
  <c r="H460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H643" i="1"/>
  <c r="G644" i="1"/>
  <c r="G651" i="1"/>
  <c r="G652" i="1"/>
  <c r="H652" i="1"/>
  <c r="G653" i="1"/>
  <c r="H653" i="1"/>
  <c r="G654" i="1"/>
  <c r="H654" i="1"/>
  <c r="H655" i="1"/>
  <c r="I552" i="1"/>
  <c r="G22" i="2"/>
  <c r="J651" i="1"/>
  <c r="J338" i="1" l="1"/>
  <c r="J352" i="1" s="1"/>
  <c r="G476" i="1"/>
  <c r="H623" i="1" s="1"/>
  <c r="J140" i="1"/>
  <c r="L401" i="1"/>
  <c r="C139" i="2" s="1"/>
  <c r="L247" i="1"/>
  <c r="L570" i="1"/>
  <c r="J476" i="1"/>
  <c r="H626" i="1" s="1"/>
  <c r="H476" i="1"/>
  <c r="H624" i="1" s="1"/>
  <c r="H338" i="1"/>
  <c r="H352" i="1" s="1"/>
  <c r="E121" i="2"/>
  <c r="C119" i="2"/>
  <c r="D12" i="13"/>
  <c r="C12" i="13" s="1"/>
  <c r="C121" i="2"/>
  <c r="J655" i="1"/>
  <c r="J112" i="1"/>
  <c r="J193" i="1" s="1"/>
  <c r="G646" i="1" s="1"/>
  <c r="H140" i="1"/>
  <c r="E78" i="2"/>
  <c r="E81" i="2" s="1"/>
  <c r="F169" i="1"/>
  <c r="C70" i="2"/>
  <c r="L419" i="1"/>
  <c r="L382" i="1"/>
  <c r="G636" i="1" s="1"/>
  <c r="F130" i="2"/>
  <c r="F144" i="2" s="1"/>
  <c r="F145" i="2" s="1"/>
  <c r="I169" i="1"/>
  <c r="F461" i="1"/>
  <c r="H639" i="1" s="1"/>
  <c r="J639" i="1" s="1"/>
  <c r="G112" i="1"/>
  <c r="L433" i="1"/>
  <c r="L270" i="1"/>
  <c r="C32" i="10"/>
  <c r="F476" i="1"/>
  <c r="H622" i="1" s="1"/>
  <c r="J622" i="1" s="1"/>
  <c r="L427" i="1"/>
  <c r="L434" i="1" s="1"/>
  <c r="G638" i="1" s="1"/>
  <c r="J638" i="1" s="1"/>
  <c r="K551" i="1"/>
  <c r="L393" i="1"/>
  <c r="C138" i="2" s="1"/>
  <c r="L328" i="1"/>
  <c r="H660" i="1" s="1"/>
  <c r="E122" i="2"/>
  <c r="D17" i="13"/>
  <c r="C17" i="13" s="1"/>
  <c r="E13" i="13"/>
  <c r="C13" i="13" s="1"/>
  <c r="H52" i="1"/>
  <c r="H619" i="1" s="1"/>
  <c r="J619" i="1" s="1"/>
  <c r="G81" i="2"/>
  <c r="I571" i="1"/>
  <c r="F571" i="1"/>
  <c r="L560" i="1"/>
  <c r="L256" i="1"/>
  <c r="H192" i="1"/>
  <c r="D62" i="2"/>
  <c r="D63" i="2" s="1"/>
  <c r="H25" i="13"/>
  <c r="C25" i="13" s="1"/>
  <c r="H571" i="1"/>
  <c r="C114" i="2"/>
  <c r="F22" i="13"/>
  <c r="C22" i="13" s="1"/>
  <c r="J636" i="1"/>
  <c r="K571" i="1"/>
  <c r="L524" i="1"/>
  <c r="C122" i="2"/>
  <c r="C29" i="10"/>
  <c r="J571" i="1"/>
  <c r="L539" i="1"/>
  <c r="I460" i="1"/>
  <c r="H461" i="1"/>
  <c r="H641" i="1" s="1"/>
  <c r="J641" i="1" s="1"/>
  <c r="A13" i="12"/>
  <c r="G408" i="1"/>
  <c r="H645" i="1" s="1"/>
  <c r="F338" i="1"/>
  <c r="F352" i="1" s="1"/>
  <c r="I257" i="1"/>
  <c r="I271" i="1" s="1"/>
  <c r="K257" i="1"/>
  <c r="K271" i="1" s="1"/>
  <c r="G164" i="2"/>
  <c r="D81" i="2"/>
  <c r="E118" i="2"/>
  <c r="J643" i="1"/>
  <c r="I545" i="1"/>
  <c r="H257" i="1"/>
  <c r="H271" i="1" s="1"/>
  <c r="J257" i="1"/>
  <c r="J271" i="1" s="1"/>
  <c r="G192" i="1"/>
  <c r="E112" i="2"/>
  <c r="L565" i="1"/>
  <c r="K545" i="1"/>
  <c r="G257" i="1"/>
  <c r="G271" i="1" s="1"/>
  <c r="J552" i="1"/>
  <c r="F552" i="1"/>
  <c r="A31" i="12"/>
  <c r="A40" i="12"/>
  <c r="E114" i="2"/>
  <c r="E111" i="2"/>
  <c r="K605" i="1"/>
  <c r="G648" i="1" s="1"/>
  <c r="K598" i="1"/>
  <c r="G647" i="1" s="1"/>
  <c r="J545" i="1"/>
  <c r="H408" i="1"/>
  <c r="H644" i="1" s="1"/>
  <c r="J644" i="1" s="1"/>
  <c r="G338" i="1"/>
  <c r="G352" i="1" s="1"/>
  <c r="G161" i="2"/>
  <c r="E103" i="2"/>
  <c r="C26" i="10"/>
  <c r="D91" i="2"/>
  <c r="G62" i="2"/>
  <c r="G63" i="2" s="1"/>
  <c r="L309" i="1"/>
  <c r="E110" i="2"/>
  <c r="L614" i="1"/>
  <c r="L544" i="1"/>
  <c r="H545" i="1"/>
  <c r="G552" i="1"/>
  <c r="G545" i="1"/>
  <c r="L529" i="1"/>
  <c r="K550" i="1"/>
  <c r="K549" i="1"/>
  <c r="J640" i="1"/>
  <c r="I452" i="1"/>
  <c r="I446" i="1"/>
  <c r="G642" i="1" s="1"/>
  <c r="D29" i="13"/>
  <c r="C29" i="13" s="1"/>
  <c r="L351" i="1"/>
  <c r="K352" i="1"/>
  <c r="D127" i="2"/>
  <c r="D128" i="2" s="1"/>
  <c r="D145" i="2" s="1"/>
  <c r="G661" i="1"/>
  <c r="I369" i="1"/>
  <c r="H634" i="1" s="1"/>
  <c r="J634" i="1" s="1"/>
  <c r="F661" i="1"/>
  <c r="H661" i="1"/>
  <c r="L362" i="1"/>
  <c r="C27" i="10" s="1"/>
  <c r="G662" i="1"/>
  <c r="E123" i="2"/>
  <c r="C19" i="10"/>
  <c r="E120" i="2"/>
  <c r="E119" i="2"/>
  <c r="C13" i="10"/>
  <c r="C12" i="10"/>
  <c r="L290" i="1"/>
  <c r="C132" i="2"/>
  <c r="E16" i="13"/>
  <c r="C16" i="13" s="1"/>
  <c r="C11" i="10"/>
  <c r="C123" i="2"/>
  <c r="C21" i="10"/>
  <c r="C18" i="10"/>
  <c r="L229" i="1"/>
  <c r="F257" i="1"/>
  <c r="F271" i="1" s="1"/>
  <c r="D6" i="13"/>
  <c r="C6" i="13" s="1"/>
  <c r="E8" i="13"/>
  <c r="C8" i="13" s="1"/>
  <c r="D7" i="13"/>
  <c r="C7" i="13" s="1"/>
  <c r="C125" i="2"/>
  <c r="C124" i="2"/>
  <c r="D15" i="13"/>
  <c r="C15" i="13" s="1"/>
  <c r="C112" i="2"/>
  <c r="C111" i="2"/>
  <c r="C110" i="2"/>
  <c r="H647" i="1"/>
  <c r="G649" i="1"/>
  <c r="J649" i="1" s="1"/>
  <c r="F662" i="1"/>
  <c r="D14" i="13"/>
  <c r="C14" i="13" s="1"/>
  <c r="C20" i="10"/>
  <c r="C120" i="2"/>
  <c r="C17" i="10"/>
  <c r="C16" i="10"/>
  <c r="L211" i="1"/>
  <c r="C118" i="2"/>
  <c r="C15" i="10"/>
  <c r="C10" i="10"/>
  <c r="C109" i="2"/>
  <c r="D5" i="13"/>
  <c r="C5" i="13" s="1"/>
  <c r="G645" i="1"/>
  <c r="F78" i="2"/>
  <c r="F81" i="2" s="1"/>
  <c r="H169" i="1"/>
  <c r="H112" i="1"/>
  <c r="E62" i="2"/>
  <c r="E63" i="2" s="1"/>
  <c r="C35" i="10"/>
  <c r="F192" i="1"/>
  <c r="C91" i="2"/>
  <c r="C78" i="2"/>
  <c r="F112" i="1"/>
  <c r="C62" i="2"/>
  <c r="C63" i="2" s="1"/>
  <c r="D50" i="2"/>
  <c r="J625" i="1"/>
  <c r="I52" i="1"/>
  <c r="H620" i="1" s="1"/>
  <c r="J620" i="1" s="1"/>
  <c r="F18" i="2"/>
  <c r="G624" i="1"/>
  <c r="E31" i="2"/>
  <c r="J623" i="1"/>
  <c r="D31" i="2"/>
  <c r="D18" i="2"/>
  <c r="J617" i="1"/>
  <c r="C18" i="2"/>
  <c r="K500" i="1"/>
  <c r="K503" i="1"/>
  <c r="G156" i="2"/>
  <c r="H552" i="1"/>
  <c r="L53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G169" i="1"/>
  <c r="G140" i="1"/>
  <c r="F140" i="1"/>
  <c r="J618" i="1"/>
  <c r="G42" i="2"/>
  <c r="G50" i="2" s="1"/>
  <c r="J51" i="1"/>
  <c r="G16" i="2"/>
  <c r="J19" i="1"/>
  <c r="G621" i="1" s="1"/>
  <c r="G18" i="2"/>
  <c r="F545" i="1"/>
  <c r="H434" i="1"/>
  <c r="D103" i="2"/>
  <c r="I140" i="1"/>
  <c r="A22" i="12"/>
  <c r="J652" i="1"/>
  <c r="G571" i="1"/>
  <c r="I434" i="1"/>
  <c r="G434" i="1"/>
  <c r="I663" i="1"/>
  <c r="H664" i="1" l="1"/>
  <c r="H672" i="1" s="1"/>
  <c r="C6" i="10" s="1"/>
  <c r="L571" i="1"/>
  <c r="J624" i="1"/>
  <c r="H33" i="13"/>
  <c r="H648" i="1"/>
  <c r="J648" i="1" s="1"/>
  <c r="F33" i="13"/>
  <c r="C81" i="2"/>
  <c r="C104" i="2" s="1"/>
  <c r="L408" i="1"/>
  <c r="G637" i="1" s="1"/>
  <c r="J637" i="1" s="1"/>
  <c r="J647" i="1"/>
  <c r="G104" i="2"/>
  <c r="E115" i="2"/>
  <c r="J645" i="1"/>
  <c r="G660" i="1"/>
  <c r="G664" i="1" s="1"/>
  <c r="G672" i="1" s="1"/>
  <c r="C5" i="10" s="1"/>
  <c r="I461" i="1"/>
  <c r="H642" i="1" s="1"/>
  <c r="J642" i="1" s="1"/>
  <c r="D104" i="2"/>
  <c r="L545" i="1"/>
  <c r="K552" i="1"/>
  <c r="G51" i="2"/>
  <c r="G635" i="1"/>
  <c r="J635" i="1" s="1"/>
  <c r="L338" i="1"/>
  <c r="L352" i="1" s="1"/>
  <c r="G633" i="1" s="1"/>
  <c r="J633" i="1" s="1"/>
  <c r="I661" i="1"/>
  <c r="I662" i="1"/>
  <c r="E128" i="2"/>
  <c r="D31" i="13"/>
  <c r="C31" i="13" s="1"/>
  <c r="F660" i="1"/>
  <c r="C144" i="2"/>
  <c r="E33" i="13"/>
  <c r="D35" i="13" s="1"/>
  <c r="C115" i="2"/>
  <c r="C128" i="2"/>
  <c r="L257" i="1"/>
  <c r="L271" i="1" s="1"/>
  <c r="G632" i="1" s="1"/>
  <c r="J632" i="1" s="1"/>
  <c r="C28" i="10"/>
  <c r="D25" i="10" s="1"/>
  <c r="I193" i="1"/>
  <c r="G630" i="1" s="1"/>
  <c r="J630" i="1" s="1"/>
  <c r="F104" i="2"/>
  <c r="C39" i="10"/>
  <c r="H193" i="1"/>
  <c r="G629" i="1" s="1"/>
  <c r="J629" i="1" s="1"/>
  <c r="E104" i="2"/>
  <c r="H667" i="1"/>
  <c r="C36" i="10"/>
  <c r="F193" i="1"/>
  <c r="G627" i="1" s="1"/>
  <c r="J627" i="1" s="1"/>
  <c r="F51" i="2"/>
  <c r="D51" i="2"/>
  <c r="E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E145" i="2"/>
  <c r="I660" i="1"/>
  <c r="I664" i="1" s="1"/>
  <c r="I672" i="1" s="1"/>
  <c r="C7" i="10" s="1"/>
  <c r="G667" i="1"/>
  <c r="F664" i="1"/>
  <c r="F672" i="1" s="1"/>
  <c r="C4" i="10" s="1"/>
  <c r="D33" i="13"/>
  <c r="D36" i="13" s="1"/>
  <c r="C145" i="2"/>
  <c r="C30" i="10"/>
  <c r="D26" i="10"/>
  <c r="D20" i="10"/>
  <c r="D16" i="10"/>
  <c r="D17" i="10"/>
  <c r="D11" i="10"/>
  <c r="D18" i="10"/>
  <c r="D10" i="10"/>
  <c r="D24" i="10"/>
  <c r="D19" i="10"/>
  <c r="D12" i="10"/>
  <c r="D13" i="10"/>
  <c r="D22" i="10"/>
  <c r="D15" i="10"/>
  <c r="D23" i="10"/>
  <c r="D27" i="10"/>
  <c r="D21" i="10"/>
  <c r="C41" i="10"/>
  <c r="D38" i="10" s="1"/>
  <c r="H656" i="1" l="1"/>
  <c r="I667" i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<sst xmlns="http://schemas.openxmlformats.org/spreadsheetml/2006/main" count="3959" uniqueCount="917">
  <si>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</si>
  <si>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</si>
  <si>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</si>
  <si>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</si>
  <si>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</si>
  <si>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</si>
  <si>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</si>
  <si>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</si>
  <si>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</si>
  <si>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</si>
  <si>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</si>
  <si>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</si>
  <si>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</si>
  <si>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</si>
  <si>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</si>
  <si>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</si>
  <si>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</si>
  <si>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</si>
  <si>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</si>
  <si>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</si>
  <si>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</si>
  <si>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</si>
  <si>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</si>
  <si>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</si>
  <si>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</si>
  <si>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</si>
  <si>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</si>
  <si>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</si>
  <si>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</si>
  <si>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</si>
  <si>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</si>
  <si>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</si>
  <si>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</si>
  <si>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</si>
  <si>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</si>
  <si>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</si>
  <si>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</si>
  <si>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</si>
  <si>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</si>
  <si>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</si>
  <si>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</si>
  <si>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</si>
  <si>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</si>
  <si>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</si>
  <si>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</si>
  <si>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</si>
  <si>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</si>
  <si>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</si>
  <si>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</si>
  <si>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</si>
  <si>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</si>
  <si>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</si>
  <si>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</si>
  <si>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</si>
  <si>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</si>
  <si>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</si>
  <si>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</si>
  <si>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</si>
  <si>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</si>
  <si>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</si>
  <si>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</si>
  <si>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</si>
  <si>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</si>
  <si>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</si>
  <si>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</si>
  <si>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</si>
  <si>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</si>
  <si>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</si>
  <si>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</si>
  <si>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</si>
  <si>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</si>
  <si>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</si>
  <si>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</si>
  <si>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</si>
  <si>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</si>
  <si>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</si>
  <si>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</si>
  <si>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</si>
  <si>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</si>
  <si>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</si>
  <si>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</si>
  <si>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</si>
  <si>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</si>
  <si>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</si>
  <si>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</si>
  <si>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</si>
  <si>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</si>
  <si>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</si>
  <si>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</si>
  <si>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</si>
  <si>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</si>
  <si>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</si>
  <si>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</si>
  <si>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</si>
  <si>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</si>
  <si>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</si>
  <si>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</si>
  <si>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</si>
  <si>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</si>
  <si>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</si>
  <si>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</si>
  <si>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</si>
  <si>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</si>
  <si>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</si>
  <si>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</si>
  <si>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</si>
  <si>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</si>
  <si>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</si>
  <si>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</si>
  <si>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</si>
  <si>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</si>
  <si>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</si>
  <si>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</si>
  <si>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</si>
  <si>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</si>
  <si>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</si>
  <si>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</si>
  <si>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</si>
  <si>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</si>
  <si>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</si>
  <si>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</si>
  <si>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</si>
  <si>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</si>
  <si>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</si>
  <si>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</si>
  <si>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</si>
  <si>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</si>
  <si>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</si>
  <si>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</si>
  <si>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</si>
  <si>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</si>
  <si>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</si>
  <si>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</si>
  <si>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</si>
  <si>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</si>
  <si>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</si>
  <si>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</si>
  <si>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</si>
  <si>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</si>
  <si>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</si>
  <si>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</si>
  <si>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</si>
  <si>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</si>
  <si>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</si>
  <si>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</si>
  <si>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</si>
  <si>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</si>
  <si>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</si>
  <si>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</si>
  <si>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</si>
  <si>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</si>
  <si>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</si>
  <si>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</si>
  <si>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</si>
  <si>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</si>
  <si>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</si>
  <si>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</si>
  <si>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</si>
  <si>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</si>
  <si>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</si>
  <si>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</si>
  <si>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</si>
  <si>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</si>
  <si>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</si>
  <si>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</si>
  <si>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</si>
  <si>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</si>
  <si>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</si>
  <si>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</si>
  <si>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</si>
  <si>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</si>
  <si>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</si>
  <si>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</si>
  <si>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</si>
  <si>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</si>
  <si>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</si>
  <si>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</si>
  <si>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</si>
  <si>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</si>
  <si>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</si>
  <si>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</si>
  <si>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</si>
  <si>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</si>
  <si>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</si>
  <si>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</si>
  <si>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</si>
  <si>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</si>
  <si>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</si>
  <si>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</si>
  <si>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</si>
  <si>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</si>
  <si>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</si>
  <si>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</si>
  <si>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</si>
  <si>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</si>
  <si>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</si>
  <si>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</si>
  <si>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</si>
  <si>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</si>
  <si>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</si>
  <si>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</si>
  <si>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</si>
  <si>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</si>
  <si>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</si>
  <si>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</si>
  <si>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</si>
  <si>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</si>
  <si>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</si>
  <si>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</si>
  <si>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</si>
  <si>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</si>
  <si>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</si>
  <si>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</si>
  <si>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</si>
  <si>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</si>
  <si>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</si>
  <si>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</si>
  <si>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</si>
  <si>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</si>
  <si>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</si>
  <si>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</si>
  <si>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</si>
  <si>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</si>
  <si>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</si>
  <si>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</si>
  <si>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</si>
  <si>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</si>
  <si>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</si>
  <si>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</si>
  <si>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</si>
  <si>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</si>
  <si>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</si>
  <si>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</si>
  <si>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</si>
  <si>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</si>
  <si>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</si>
  <si>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</si>
  <si>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</si>
  <si>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</si>
  <si>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</si>
  <si>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</si>
  <si>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</si>
  <si>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</si>
  <si>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</si>
  <si>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</si>
  <si>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</si>
  <si>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</si>
  <si>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</si>
  <si>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</si>
  <si>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</si>
  <si>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</si>
  <si>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</si>
  <si>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</si>
  <si>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</si>
  <si>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</si>
  <si>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</si>
  <si>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</si>
  <si>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</si>
  <si>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</si>
  <si>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</si>
  <si>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</si>
  <si>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</si>
  <si>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</si>
  <si>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</si>
  <si>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</si>
  <si>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</si>
  <si>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</si>
  <si>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</si>
  <si>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</si>
  <si>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</si>
  <si>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</si>
  <si>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</si>
  <si>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</si>
  <si>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</si>
  <si>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</si>
  <si>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</si>
  <si>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</si>
  <si>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</si>
  <si>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</si>
  <si>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</si>
  <si>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</si>
  <si>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</si>
  <si>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</si>
  <si>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</si>
  <si>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</si>
  <si>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</si>
  <si>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</si>
  <si>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</si>
  <si>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</si>
  <si>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</si>
  <si>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</si>
  <si>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</si>
  <si>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</si>
  <si>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</si>
  <si>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</si>
  <si>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</si>
  <si>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</si>
  <si>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</si>
  <si>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</si>
  <si>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</si>
  <si>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</si>
  <si>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</si>
  <si>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</si>
  <si>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</si>
  <si>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</si>
  <si>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</si>
  <si>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</si>
  <si>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</si>
  <si>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</si>
  <si>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</si>
  <si>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</si>
  <si>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</si>
  <si>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</si>
  <si>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</si>
  <si>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</si>
  <si>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</si>
  <si>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</si>
  <si>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</si>
  <si>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</si>
  <si>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</si>
  <si>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</si>
  <si>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</si>
  <si>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</si>
  <si>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</si>
  <si>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</si>
  <si>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</si>
  <si>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</si>
  <si>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</si>
  <si>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</si>
  <si>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</si>
  <si>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</si>
  <si>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</si>
  <si>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</si>
  <si>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</si>
  <si>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</si>
  <si>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</si>
  <si>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</si>
  <si>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</si>
  <si>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</si>
  <si>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</si>
  <si>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</si>
  <si>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</si>
  <si>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</si>
  <si>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</si>
  <si>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</si>
  <si>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</si>
  <si>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</si>
  <si>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</si>
  <si>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</si>
  <si>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</si>
  <si>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</si>
  <si>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</si>
  <si>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</si>
  <si>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</si>
  <si>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</si>
  <si>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</si>
  <si>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</si>
  <si>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</si>
  <si>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</si>
  <si>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</si>
  <si>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</si>
  <si>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</si>
  <si>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</si>
  <si>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</si>
  <si>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</si>
  <si>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</si>
  <si>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</si>
  <si>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</si>
  <si>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</si>
  <si>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</si>
  <si>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</si>
  <si>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</si>
  <si>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</si>
  <si>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</si>
  <si>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</si>
  <si>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</si>
  <si>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</si>
  <si>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</si>
  <si>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</si>
  <si>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</si>
  <si>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</si>
  <si>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</si>
  <si>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</si>
  <si>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</si>
  <si>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</si>
  <si>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</si>
  <si>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</si>
  <si>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</si>
  <si>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</si>
  <si>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</si>
  <si>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</si>
  <si>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</si>
  <si>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</si>
  <si>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</si>
  <si>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</si>
  <si>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</si>
  <si>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</si>
  <si>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</si>
  <si>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</si>
  <si>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</si>
  <si>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</si>
  <si>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</si>
  <si>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</si>
  <si>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</si>
  <si>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</si>
  <si>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</si>
  <si>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</si>
  <si>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</si>
  <si>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</si>
  <si>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</si>
  <si>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</si>
  <si>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</si>
  <si>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</si>
  <si>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</si>
  <si>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</si>
  <si>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</si>
  <si>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</si>
  <si>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</si>
  <si>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</si>
  <si>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</si>
  <si>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</si>
  <si>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</si>
  <si>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</si>
  <si>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</si>
  <si>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</si>
  <si>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</si>
  <si>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</si>
  <si>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</si>
  <si>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</si>
  <si>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</si>
  <si>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</si>
  <si>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</si>
  <si>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</si>
  <si>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</si>
  <si>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</si>
  <si>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</si>
  <si>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</si>
  <si>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</si>
  <si>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</si>
  <si>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</si>
  <si>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</si>
  <si>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</si>
  <si>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</si>
  <si>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</si>
  <si>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</si>
  <si>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</si>
  <si>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</si>
  <si>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</si>
  <si>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</si>
  <si>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</si>
  <si>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</si>
  <si>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</si>
  <si>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</si>
  <si>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</si>
  <si>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</si>
  <si>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</si>
  <si>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</si>
  <si>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</si>
  <si>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</si>
  <si>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</si>
  <si>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</si>
  <si>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</si>
  <si>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</si>
  <si>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</si>
  <si>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</si>
  <si>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</si>
  <si>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</si>
  <si>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</si>
  <si>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</si>
  <si>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</si>
  <si>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</si>
  <si>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</si>
  <si>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</si>
  <si>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</si>
  <si>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</si>
  <si>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</si>
  <si>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</si>
  <si>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</si>
  <si>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</si>
  <si>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</si>
  <si>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</si>
  <si>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</si>
  <si>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</si>
  <si>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</si>
  <si>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</si>
  <si>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</si>
  <si>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</si>
  <si>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</si>
  <si>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</si>
  <si>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</si>
  <si>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</si>
  <si>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</si>
  <si>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</si>
  <si>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</si>
  <si>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</si>
  <si>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</si>
  <si>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</si>
  <si>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</si>
  <si>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</si>
  <si>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</si>
  <si>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</si>
  <si>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</si>
  <si>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</si>
  <si>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</si>
  <si>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</si>
  <si>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</si>
  <si>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</si>
  <si>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</si>
  <si>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</si>
  <si>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</si>
  <si>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</si>
  <si>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</si>
  <si>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</si>
  <si>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</si>
  <si>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</si>
  <si>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</si>
  <si>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</si>
  <si>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</si>
  <si>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</si>
  <si>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</si>
  <si>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</si>
  <si>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</si>
  <si>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</si>
  <si>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</si>
  <si>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</si>
  <si>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</si>
  <si>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</si>
  <si>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</si>
  <si>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</si>
  <si>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</si>
  <si>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</si>
  <si>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</si>
  <si>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</si>
  <si>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</si>
  <si>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</si>
  <si>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</si>
  <si>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</si>
  <si>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</si>
  <si>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</si>
  <si>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</si>
  <si>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</si>
  <si>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</si>
  <si>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</si>
  <si>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</si>
  <si>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</si>
  <si>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</si>
  <si>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</si>
  <si>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</si>
  <si>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</si>
  <si>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</si>
  <si>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</si>
  <si>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</si>
  <si>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</si>
  <si>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</si>
  <si>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</si>
  <si>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</si>
  <si>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</si>
  <si>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</si>
  <si>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</si>
  <si>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</si>
  <si>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</si>
  <si>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</si>
  <si>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</si>
  <si>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</si>
  <si>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</si>
  <si>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</si>
  <si>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</si>
  <si>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</si>
  <si>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</si>
  <si>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</si>
  <si>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</si>
  <si>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</si>
  <si>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</si>
  <si>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</si>
  <si>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</si>
  <si>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</si>
  <si>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</si>
  <si>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</si>
  <si>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</si>
  <si>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</si>
  <si>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</si>
  <si>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</si>
  <si>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</si>
  <si>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</si>
  <si>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</si>
  <si>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</si>
  <si>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</si>
  <si>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</si>
  <si>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</si>
  <si>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</si>
  <si>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</si>
  <si>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</si>
  <si>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</si>
  <si>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</si>
  <si>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</si>
  <si>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</si>
  <si>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</si>
  <si>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</si>
  <si>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</si>
  <si>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</si>
  <si>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</si>
  <si>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</si>
  <si>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</si>
  <si>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</si>
  <si>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</si>
  <si>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</si>
  <si>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</si>
  <si>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</si>
  <si>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</si>
  <si>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</si>
  <si>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</si>
  <si>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</si>
  <si>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</si>
  <si>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</si>
  <si>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</si>
  <si>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</si>
  <si>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</si>
  <si>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</si>
  <si>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</si>
  <si>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</si>
  <si>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</si>
  <si>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</si>
  <si>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</si>
  <si>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</si>
  <si>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</si>
  <si>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</si>
  <si>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</si>
  <si>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</si>
  <si>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</si>
  <si>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</si>
  <si>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</si>
  <si>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</si>
  <si>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</si>
  <si>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</si>
  <si>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</si>
  <si>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</si>
  <si>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</si>
  <si>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</si>
  <si>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</si>
  <si>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</si>
  <si>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</si>
  <si>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</si>
  <si>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</si>
  <si>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</si>
  <si>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</si>
  <si>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</si>
  <si>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</si>
  <si>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</si>
  <si>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</si>
  <si>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</si>
  <si>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</si>
  <si>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</si>
  <si>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</si>
  <si>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</si>
  <si>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</si>
  <si>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</si>
  <si>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</si>
  <si>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</si>
  <si>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</si>
  <si>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</si>
  <si>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</si>
  <si>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</si>
  <si>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</si>
  <si>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</si>
  <si>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</si>
  <si>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</si>
  <si>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</si>
  <si>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</si>
  <si>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</si>
  <si>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</si>
  <si>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</si>
  <si>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</si>
  <si>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</si>
  <si>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</si>
  <si>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</si>
  <si>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</si>
  <si>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</si>
  <si>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</si>
  <si>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</si>
  <si>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</si>
  <si>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</si>
  <si>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</si>
  <si>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</si>
  <si>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</si>
  <si>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</si>
  <si>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</si>
  <si>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</si>
  <si>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</si>
  <si>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</si>
  <si>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</si>
  <si>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</si>
  <si>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</si>
  <si>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</si>
  <si>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</si>
  <si>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</si>
  <si>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</si>
  <si>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</si>
  <si>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</si>
  <si>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</si>
  <si>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</si>
  <si>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</si>
  <si>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</si>
  <si>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</si>
  <si>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</si>
  <si>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</si>
  <si>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</si>
  <si>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</si>
  <si>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</si>
  <si>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</si>
  <si>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</si>
  <si>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</si>
  <si>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</si>
  <si>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</si>
  <si>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</si>
  <si>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</si>
  <si>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</si>
  <si>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</si>
  <si>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</si>
  <si>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</si>
  <si>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</si>
  <si>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</si>
  <si>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</si>
  <si>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</si>
  <si>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</si>
  <si>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</si>
  <si>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</si>
  <si>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</si>
  <si>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</si>
  <si>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</si>
  <si>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</si>
  <si>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</si>
  <si>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</si>
  <si>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</si>
  <si>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</si>
  <si>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</si>
  <si>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</si>
  <si>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</si>
  <si>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</si>
  <si>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</si>
  <si>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</si>
  <si>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</si>
  <si>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</si>
  <si>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</si>
  <si>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</si>
  <si>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</si>
  <si>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</si>
  <si>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</si>
  <si>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</si>
  <si>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</si>
  <si>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</si>
  <si>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</si>
  <si>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</si>
  <si>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</si>
  <si>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</si>
  <si>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</si>
  <si>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</si>
  <si>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</si>
  <si>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</si>
  <si>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</si>
  <si>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</si>
  <si>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</si>
  <si>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</si>
  <si>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</si>
  <si>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</si>
  <si>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</si>
  <si>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</si>
  <si>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</si>
  <si>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</si>
  <si>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</si>
  <si>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</si>
  <si>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</si>
  <si>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</si>
  <si>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</si>
  <si>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</si>
  <si>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</si>
  <si>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</si>
  <si>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</si>
  <si>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</si>
  <si>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</si>
  <si>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</si>
  <si>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</si>
  <si>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</si>
  <si>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</si>
  <si>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</si>
  <si>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</si>
  <si>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</si>
  <si>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</si>
  <si>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</si>
  <si>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</si>
  <si>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</si>
  <si>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</si>
  <si>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</si>
  <si>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</si>
  <si>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</si>
  <si>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</si>
  <si>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</si>
  <si>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</si>
  <si>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</si>
  <si>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</si>
  <si>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</si>
  <si>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</si>
  <si>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</si>
  <si>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</si>
  <si>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</si>
  <si>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</si>
  <si>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</si>
  <si>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</si>
  <si>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</si>
  <si>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</si>
  <si>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</si>
  <si>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</si>
  <si>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</si>
  <si>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</si>
  <si>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</si>
  <si>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</si>
  <si>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</si>
  <si>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</si>
  <si>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</si>
  <si>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</si>
  <si>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</si>
  <si>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</si>
  <si>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</si>
  <si>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</si>
  <si>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</si>
  <si>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</si>
  <si>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</si>
  <si>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</si>
  <si>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</si>
  <si>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</si>
  <si>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</si>
  <si>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</si>
  <si>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</si>
  <si>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</si>
  <si>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</si>
  <si>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</si>
  <si>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</si>
  <si>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</si>
  <si>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</si>
  <si>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</si>
  <si>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</si>
  <si>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</si>
  <si>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</si>
  <si>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</si>
  <si>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</si>
  <si>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</si>
  <si>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</si>
  <si>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</si>
  <si>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</si>
  <si>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</si>
  <si>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</si>
  <si>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</si>
  <si>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</si>
  <si>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</si>
  <si>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</si>
  <si>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</si>
  <si>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</si>
  <si>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</si>
  <si>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</si>
  <si>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</si>
  <si>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</si>
  <si>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</si>
  <si>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</si>
  <si>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</si>
  <si>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</si>
  <si>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</si>
  <si>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</si>
  <si>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</si>
  <si>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</si>
  <si>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</si>
  <si>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</si>
  <si>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</si>
  <si>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</si>
  <si>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</si>
  <si>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</si>
  <si>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</si>
  <si>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</si>
  <si>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</si>
  <si>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</si>
  <si>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</si>
  <si>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</si>
  <si>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</si>
  <si>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</si>
  <si>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</si>
  <si>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</si>
  <si>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</si>
  <si>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</si>
  <si>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</si>
  <si>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</si>
  <si>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</si>
  <si>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</si>
  <si>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</si>
  <si>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</si>
  <si>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</si>
  <si>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</si>
  <si>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</si>
  <si>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</si>
  <si>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</si>
  <si>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</si>
  <si>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</si>
  <si>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</si>
  <si>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</si>
  <si>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</si>
  <si>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</si>
  <si>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</si>
  <si>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</si>
  <si>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</si>
  <si>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</si>
  <si>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</si>
  <si>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</si>
  <si>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</si>
  <si>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</si>
  <si>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WEARE SCHOOL DISTRICT</t>
  </si>
  <si>
    <t>6/23/05</t>
  </si>
  <si>
    <t>8/1/25</t>
  </si>
  <si>
    <t>7/1/13</t>
  </si>
  <si>
    <t>9/15/17</t>
  </si>
  <si>
    <t>liabilities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</si>
</sst>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73" sqref="F67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555</v>
      </c>
      <c r="C2" s="21">
        <v>555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1344811.75</v>
      </c>
      <c r="G9" s="18">
        <v>68252.19</v>
      </c>
      <c r="H9" s="18">
        <v>-26775.59</v>
      </c>
      <c r="I9" s="18">
        <v>0</v>
      </c>
      <c r="J9" s="67">
        <f>SUM(I439)</f>
        <v>236475.22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1409.65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137.19</v>
      </c>
      <c r="G13" s="18">
        <v>9313.2000000000007</v>
      </c>
      <c r="H13" s="18">
        <v>29719.040000000001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9864.89</v>
      </c>
      <c r="G14" s="18">
        <v>9495.25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1354813.8299999998</v>
      </c>
      <c r="G19" s="41">
        <f>SUM(G9:G18)</f>
        <v>88470.29</v>
      </c>
      <c r="H19" s="41">
        <f>SUM(H9:H18)</f>
        <v>2943.4500000000007</v>
      </c>
      <c r="I19" s="41">
        <f>SUM(I9:I18)</f>
        <v>0</v>
      </c>
      <c r="J19" s="41">
        <f>SUM(J9:J18)</f>
        <v>236475.22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1903.67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62982.5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25123.439999999999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751500</v>
      </c>
      <c r="G30" s="18">
        <v>6936.38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841509.61</v>
      </c>
      <c r="G32" s="41">
        <f>SUM(G22:G31)</f>
        <v>6936.38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81533.91</v>
      </c>
      <c r="H48" s="18">
        <v>2943.45</v>
      </c>
      <c r="I48" s="18">
        <v>0</v>
      </c>
      <c r="J48" s="13">
        <f>SUM(I459)</f>
        <v>236475.22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488304.22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513304.22</v>
      </c>
      <c r="G51" s="41">
        <f>SUM(G35:G50)</f>
        <v>81533.91</v>
      </c>
      <c r="H51" s="41">
        <f>SUM(H35:H50)</f>
        <v>2943.45</v>
      </c>
      <c r="I51" s="41">
        <f>SUM(I35:I50)</f>
        <v>0</v>
      </c>
      <c r="J51" s="41">
        <f>SUM(J35:J50)</f>
        <v>236475.22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1354813.83</v>
      </c>
      <c r="G52" s="41">
        <f>G51+G32</f>
        <v>88470.290000000008</v>
      </c>
      <c r="H52" s="41">
        <f>H51+H32</f>
        <v>2943.45</v>
      </c>
      <c r="I52" s="41">
        <f>I51+I32</f>
        <v>0</v>
      </c>
      <c r="J52" s="41">
        <f>J51+J32</f>
        <v>236475.22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6947055</v>
      </c>
      <c r="G57" s="18">
        <v>43600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6947055</v>
      </c>
      <c r="G60" s="41">
        <f>SUM(G57:G59)</f>
        <v>43600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20085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5957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37270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26042</v>
      </c>
      <c r="G79" s="45" t="s">
        <v>289</v>
      </c>
      <c r="H79" s="41">
        <f>SUM(H63:H78)</f>
        <v>37270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71965.259999999995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71965.259999999995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33.799999999999997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204540.36-1409.65</f>
        <v>203130.71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585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973.61</v>
      </c>
      <c r="G102" s="18">
        <v>0</v>
      </c>
      <c r="H102" s="18">
        <v>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245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52758.69</v>
      </c>
      <c r="G110" s="18">
        <v>9525.25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54562.3</v>
      </c>
      <c r="G111" s="41">
        <f>SUM(G96:G110)</f>
        <v>212655.96</v>
      </c>
      <c r="H111" s="41">
        <f>SUM(H96:H110)</f>
        <v>0</v>
      </c>
      <c r="I111" s="41">
        <f>SUM(I96:I110)</f>
        <v>0</v>
      </c>
      <c r="J111" s="41">
        <f>SUM(J96:J110)</f>
        <v>33.799999999999997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7099624.5599999996</v>
      </c>
      <c r="G112" s="41">
        <f>G60+G111</f>
        <v>256255.96</v>
      </c>
      <c r="H112" s="41">
        <f>H60+H79+H94+H111</f>
        <v>37270</v>
      </c>
      <c r="I112" s="41">
        <f>I60+I111</f>
        <v>0</v>
      </c>
      <c r="J112" s="41">
        <f>J60+J111</f>
        <v>33.799999999999997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4766882.6399999997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1157796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5924678.6399999997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385686.4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84564.83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4795.87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470251.23000000004</v>
      </c>
      <c r="G136" s="41">
        <f>SUM(G123:G135)</f>
        <v>4795.87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6394929.8700000001</v>
      </c>
      <c r="G140" s="41">
        <f>G121+SUM(G136:G137)</f>
        <v>4795.87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2654.98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45951.43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109944.77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145068.12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145068.12</v>
      </c>
      <c r="G162" s="41">
        <f>SUM(G150:G161)</f>
        <v>109944.77</v>
      </c>
      <c r="H162" s="41">
        <f>SUM(H150:H161)</f>
        <v>48606.41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145068.12</v>
      </c>
      <c r="G169" s="41">
        <f>G147+G162+SUM(G163:G168)</f>
        <v>109944.77</v>
      </c>
      <c r="H169" s="41">
        <f>H147+H162+SUM(H163:H168)</f>
        <v>48606.41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300000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300000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1409.65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1409.65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300000</v>
      </c>
      <c r="G192" s="41">
        <f>G183+SUM(G188:G191)</f>
        <v>1409.65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13939622.549999999</v>
      </c>
      <c r="G193" s="47">
        <f>G112+G140+G169+G192</f>
        <v>372406.25</v>
      </c>
      <c r="H193" s="47">
        <f>H112+H140+H169+H192</f>
        <v>85876.41</v>
      </c>
      <c r="I193" s="47">
        <f>I112+I140+I169+I192</f>
        <v>0</v>
      </c>
      <c r="J193" s="47">
        <f>J112+J140+J192</f>
        <v>33.799999999999997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1559492.84</v>
      </c>
      <c r="G197" s="18">
        <v>821210.46</v>
      </c>
      <c r="H197" s="18">
        <v>9616.1299999999992</v>
      </c>
      <c r="I197" s="18">
        <v>106308.02</v>
      </c>
      <c r="J197" s="18">
        <v>12742.77</v>
      </c>
      <c r="K197" s="18">
        <v>0</v>
      </c>
      <c r="L197" s="19">
        <f>SUM(F197:K197)</f>
        <v>2509370.2199999997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738591.92</v>
      </c>
      <c r="G198" s="18">
        <v>244074.22</v>
      </c>
      <c r="H198" s="18">
        <v>93318.2</v>
      </c>
      <c r="I198" s="18">
        <v>6606.73</v>
      </c>
      <c r="J198" s="18">
        <v>3412.62</v>
      </c>
      <c r="K198" s="18">
        <v>8539.02</v>
      </c>
      <c r="L198" s="19">
        <f>SUM(F198:K198)</f>
        <v>1094542.7100000002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18650.080000000002</v>
      </c>
      <c r="G200" s="18">
        <v>3859.11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22509.190000000002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287423.06</v>
      </c>
      <c r="G202" s="18">
        <v>169394.66</v>
      </c>
      <c r="H202" s="18">
        <v>4093.25</v>
      </c>
      <c r="I202" s="18">
        <v>4473.76</v>
      </c>
      <c r="J202" s="18">
        <v>1268.55</v>
      </c>
      <c r="K202" s="18">
        <v>0</v>
      </c>
      <c r="L202" s="19">
        <f t="shared" ref="L202:L208" si="0">SUM(F202:K202)</f>
        <v>466653.27999999997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107585</v>
      </c>
      <c r="G203" s="18">
        <v>41964.92</v>
      </c>
      <c r="H203" s="18">
        <v>1934.55</v>
      </c>
      <c r="I203" s="18">
        <v>9529.89</v>
      </c>
      <c r="J203" s="18">
        <v>80769.66</v>
      </c>
      <c r="K203" s="18">
        <v>16596.27</v>
      </c>
      <c r="L203" s="19">
        <f t="shared" si="0"/>
        <v>258380.28999999998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3500</v>
      </c>
      <c r="G204" s="18">
        <v>21507.69</v>
      </c>
      <c r="H204" s="18">
        <v>265726.38</v>
      </c>
      <c r="I204" s="18">
        <v>1464.34</v>
      </c>
      <c r="J204" s="18">
        <v>0</v>
      </c>
      <c r="K204" s="18">
        <v>5705.5</v>
      </c>
      <c r="L204" s="19">
        <f t="shared" si="0"/>
        <v>297903.91000000003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257741.62</v>
      </c>
      <c r="G205" s="18">
        <v>141565.04999999999</v>
      </c>
      <c r="H205" s="18">
        <v>7468.69</v>
      </c>
      <c r="I205" s="18">
        <v>987.57</v>
      </c>
      <c r="J205" s="18">
        <v>0</v>
      </c>
      <c r="K205" s="18">
        <v>1500</v>
      </c>
      <c r="L205" s="19">
        <f t="shared" si="0"/>
        <v>409262.93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154091.13</v>
      </c>
      <c r="G207" s="18">
        <v>93653.55</v>
      </c>
      <c r="H207" s="18">
        <v>192049.57</v>
      </c>
      <c r="I207" s="18">
        <v>123156.55</v>
      </c>
      <c r="J207" s="18">
        <v>0</v>
      </c>
      <c r="K207" s="18">
        <v>0</v>
      </c>
      <c r="L207" s="19">
        <f t="shared" si="0"/>
        <v>562950.80000000005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412289.8</v>
      </c>
      <c r="I208" s="18">
        <v>0</v>
      </c>
      <c r="J208" s="18">
        <v>0</v>
      </c>
      <c r="K208" s="18">
        <v>0</v>
      </c>
      <c r="L208" s="19">
        <f t="shared" si="0"/>
        <v>412289.8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3127075.6500000004</v>
      </c>
      <c r="G211" s="41">
        <f t="shared" si="1"/>
        <v>1537229.66</v>
      </c>
      <c r="H211" s="41">
        <f t="shared" si="1"/>
        <v>986496.57000000007</v>
      </c>
      <c r="I211" s="41">
        <f t="shared" si="1"/>
        <v>252526.86</v>
      </c>
      <c r="J211" s="41">
        <f t="shared" si="1"/>
        <v>98193.600000000006</v>
      </c>
      <c r="K211" s="41">
        <f t="shared" si="1"/>
        <v>32340.79</v>
      </c>
      <c r="L211" s="41">
        <f t="shared" si="1"/>
        <v>6033863.129999999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1526637.47</v>
      </c>
      <c r="G215" s="18">
        <v>712127.97</v>
      </c>
      <c r="H215" s="18">
        <v>14355.94</v>
      </c>
      <c r="I215" s="18">
        <v>88170.61</v>
      </c>
      <c r="J215" s="18">
        <v>44145.05</v>
      </c>
      <c r="K215" s="18">
        <v>226.6</v>
      </c>
      <c r="L215" s="19">
        <f>SUM(F215:K215)</f>
        <v>2385663.6399999997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676838.33</v>
      </c>
      <c r="G216" s="18">
        <v>228133.3</v>
      </c>
      <c r="H216" s="18">
        <v>156135.01999999999</v>
      </c>
      <c r="I216" s="18">
        <v>9661.73</v>
      </c>
      <c r="J216" s="18">
        <v>3445.12</v>
      </c>
      <c r="K216" s="18">
        <v>6518.87</v>
      </c>
      <c r="L216" s="19">
        <f>SUM(F216:K216)</f>
        <v>1080732.3700000001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40540.25</v>
      </c>
      <c r="G218" s="18">
        <v>7535.61</v>
      </c>
      <c r="H218" s="18">
        <v>0</v>
      </c>
      <c r="I218" s="18">
        <v>3812.04</v>
      </c>
      <c r="J218" s="18">
        <v>0</v>
      </c>
      <c r="K218" s="18">
        <v>4954</v>
      </c>
      <c r="L218" s="19">
        <f>SUM(F218:K218)</f>
        <v>56841.9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181735.15</v>
      </c>
      <c r="G220" s="18">
        <v>98354.06</v>
      </c>
      <c r="H220" s="18">
        <v>21365.49</v>
      </c>
      <c r="I220" s="18">
        <v>1053.1600000000001</v>
      </c>
      <c r="J220" s="18">
        <v>206.87</v>
      </c>
      <c r="K220" s="18">
        <v>0</v>
      </c>
      <c r="L220" s="19">
        <f t="shared" ref="L220:L226" si="2">SUM(F220:K220)</f>
        <v>302714.72999999992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101579</v>
      </c>
      <c r="G221" s="18">
        <v>75693.259999999995</v>
      </c>
      <c r="H221" s="18">
        <v>2884.65</v>
      </c>
      <c r="I221" s="18">
        <v>16483.73</v>
      </c>
      <c r="J221" s="18">
        <v>43697.760000000002</v>
      </c>
      <c r="K221" s="18">
        <v>13290.4</v>
      </c>
      <c r="L221" s="19">
        <f t="shared" si="2"/>
        <v>253628.80000000002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3500</v>
      </c>
      <c r="G222" s="18">
        <v>21507.69</v>
      </c>
      <c r="H222" s="18">
        <v>265986.76</v>
      </c>
      <c r="I222" s="18">
        <v>576.16</v>
      </c>
      <c r="J222" s="18">
        <v>0</v>
      </c>
      <c r="K222" s="18">
        <v>5901.03</v>
      </c>
      <c r="L222" s="19">
        <f t="shared" si="2"/>
        <v>297471.64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238606.81</v>
      </c>
      <c r="G223" s="18">
        <v>97863.58</v>
      </c>
      <c r="H223" s="18">
        <v>11763.44</v>
      </c>
      <c r="I223" s="18">
        <v>1135.67</v>
      </c>
      <c r="J223" s="18">
        <v>0</v>
      </c>
      <c r="K223" s="18">
        <v>1770.27</v>
      </c>
      <c r="L223" s="19">
        <f t="shared" si="2"/>
        <v>351139.77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211414.2</v>
      </c>
      <c r="G225" s="18">
        <v>105089.09</v>
      </c>
      <c r="H225" s="18">
        <v>181565.95</v>
      </c>
      <c r="I225" s="18">
        <v>255595.4</v>
      </c>
      <c r="J225" s="18">
        <v>3806.23</v>
      </c>
      <c r="K225" s="18">
        <v>0</v>
      </c>
      <c r="L225" s="19">
        <f t="shared" si="2"/>
        <v>757470.87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368250.69</v>
      </c>
      <c r="I226" s="18">
        <v>0</v>
      </c>
      <c r="J226" s="18">
        <v>0</v>
      </c>
      <c r="K226" s="18">
        <v>0</v>
      </c>
      <c r="L226" s="19">
        <f t="shared" si="2"/>
        <v>368250.69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/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2980851.21</v>
      </c>
      <c r="G229" s="41">
        <f>SUM(G215:G228)</f>
        <v>1346304.56</v>
      </c>
      <c r="H229" s="41">
        <f>SUM(H215:H228)</f>
        <v>1022307.94</v>
      </c>
      <c r="I229" s="41">
        <f>SUM(I215:I228)</f>
        <v>376488.5</v>
      </c>
      <c r="J229" s="41">
        <f>SUM(J215:J228)</f>
        <v>95301.030000000013</v>
      </c>
      <c r="K229" s="41">
        <f t="shared" si="3"/>
        <v>32661.170000000002</v>
      </c>
      <c r="L229" s="41">
        <f t="shared" si="3"/>
        <v>5853914.4100000001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279650</v>
      </c>
      <c r="I255" s="18"/>
      <c r="J255" s="18"/>
      <c r="K255" s="18"/>
      <c r="L255" s="19">
        <f t="shared" si="6"/>
        <v>279650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279650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279650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6107926.8600000003</v>
      </c>
      <c r="G257" s="41">
        <f t="shared" si="8"/>
        <v>2883534.2199999997</v>
      </c>
      <c r="H257" s="41">
        <f t="shared" si="8"/>
        <v>2288454.5099999998</v>
      </c>
      <c r="I257" s="41">
        <f t="shared" si="8"/>
        <v>629015.36</v>
      </c>
      <c r="J257" s="41">
        <f t="shared" si="8"/>
        <v>193494.63</v>
      </c>
      <c r="K257" s="41">
        <f t="shared" si="8"/>
        <v>65001.960000000006</v>
      </c>
      <c r="L257" s="41">
        <f t="shared" si="8"/>
        <v>12167427.539999999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962254.82</v>
      </c>
      <c r="L260" s="19">
        <f>SUM(F260:K260)</f>
        <v>962254.82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455239.72</v>
      </c>
      <c r="L261" s="19">
        <f>SUM(F261:K261)</f>
        <v>455239.72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1409.65</v>
      </c>
      <c r="L263" s="19">
        <f>SUM(F263:K263)</f>
        <v>1409.65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1418904.19</v>
      </c>
      <c r="L270" s="41">
        <f t="shared" si="9"/>
        <v>1418904.19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6107926.8600000003</v>
      </c>
      <c r="G271" s="42">
        <f t="shared" si="11"/>
        <v>2883534.2199999997</v>
      </c>
      <c r="H271" s="42">
        <f t="shared" si="11"/>
        <v>2288454.5099999998</v>
      </c>
      <c r="I271" s="42">
        <f t="shared" si="11"/>
        <v>629015.36</v>
      </c>
      <c r="J271" s="42">
        <f t="shared" si="11"/>
        <v>193494.63</v>
      </c>
      <c r="K271" s="42">
        <f t="shared" si="11"/>
        <v>1483906.15</v>
      </c>
      <c r="L271" s="42">
        <f t="shared" si="11"/>
        <v>13586331.729999999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20260</v>
      </c>
      <c r="G281" s="18">
        <v>4235.4399999999996</v>
      </c>
      <c r="H281" s="18">
        <v>1878.04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26373.48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100</v>
      </c>
      <c r="G282" s="18">
        <v>7.65</v>
      </c>
      <c r="H282" s="18">
        <v>4499.05</v>
      </c>
      <c r="I282" s="18">
        <v>0</v>
      </c>
      <c r="J282" s="18">
        <v>0</v>
      </c>
      <c r="K282" s="18">
        <v>0</v>
      </c>
      <c r="L282" s="19">
        <f t="shared" si="12"/>
        <v>4606.7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924.1</v>
      </c>
      <c r="L283" s="19">
        <f t="shared" si="12"/>
        <v>924.1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20360</v>
      </c>
      <c r="G290" s="42">
        <f t="shared" si="13"/>
        <v>4243.0899999999992</v>
      </c>
      <c r="H290" s="42">
        <f t="shared" si="13"/>
        <v>6377.09</v>
      </c>
      <c r="I290" s="42">
        <f t="shared" si="13"/>
        <v>0</v>
      </c>
      <c r="J290" s="42">
        <f t="shared" si="13"/>
        <v>0</v>
      </c>
      <c r="K290" s="42">
        <f t="shared" si="13"/>
        <v>924.1</v>
      </c>
      <c r="L290" s="41">
        <f t="shared" si="13"/>
        <v>31904.28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31887.13</v>
      </c>
      <c r="G298" s="18">
        <v>2439.42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34326.550000000003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2550</v>
      </c>
      <c r="G301" s="18">
        <v>516.14</v>
      </c>
      <c r="H301" s="18">
        <v>13065.22</v>
      </c>
      <c r="I301" s="18">
        <v>0</v>
      </c>
      <c r="J301" s="18">
        <v>0</v>
      </c>
      <c r="K301" s="18">
        <v>0</v>
      </c>
      <c r="L301" s="19">
        <f t="shared" si="14"/>
        <v>16131.359999999999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570.77</v>
      </c>
      <c r="L302" s="19">
        <f t="shared" si="14"/>
        <v>570.77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/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34437.130000000005</v>
      </c>
      <c r="G309" s="42">
        <f t="shared" si="15"/>
        <v>2955.56</v>
      </c>
      <c r="H309" s="42">
        <f t="shared" si="15"/>
        <v>13065.22</v>
      </c>
      <c r="I309" s="42">
        <f t="shared" si="15"/>
        <v>0</v>
      </c>
      <c r="J309" s="42">
        <f t="shared" si="15"/>
        <v>0</v>
      </c>
      <c r="K309" s="42">
        <f t="shared" si="15"/>
        <v>570.77</v>
      </c>
      <c r="L309" s="41">
        <f t="shared" si="15"/>
        <v>51028.68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54797.130000000005</v>
      </c>
      <c r="G338" s="41">
        <f t="shared" si="20"/>
        <v>7198.65</v>
      </c>
      <c r="H338" s="41">
        <f t="shared" si="20"/>
        <v>19442.309999999998</v>
      </c>
      <c r="I338" s="41">
        <f t="shared" si="20"/>
        <v>0</v>
      </c>
      <c r="J338" s="41">
        <f t="shared" si="20"/>
        <v>0</v>
      </c>
      <c r="K338" s="41">
        <f t="shared" si="20"/>
        <v>1494.87</v>
      </c>
      <c r="L338" s="41">
        <f t="shared" si="20"/>
        <v>82932.959999999992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54797.130000000005</v>
      </c>
      <c r="G352" s="41">
        <f>G338</f>
        <v>7198.65</v>
      </c>
      <c r="H352" s="41">
        <f>H338</f>
        <v>19442.309999999998</v>
      </c>
      <c r="I352" s="41">
        <f>I338</f>
        <v>0</v>
      </c>
      <c r="J352" s="41">
        <f>J338</f>
        <v>0</v>
      </c>
      <c r="K352" s="47">
        <f>K338+K351</f>
        <v>1494.87</v>
      </c>
      <c r="L352" s="41">
        <f>L338+L351</f>
        <v>82932.959999999992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165105.79</v>
      </c>
      <c r="I358" s="18">
        <v>0</v>
      </c>
      <c r="J358" s="18">
        <v>11867.95</v>
      </c>
      <c r="K358" s="18">
        <v>375.7</v>
      </c>
      <c r="L358" s="13">
        <f>SUM(F358:K358)</f>
        <v>177349.44000000003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166436.57999999999</v>
      </c>
      <c r="I359" s="18">
        <v>0</v>
      </c>
      <c r="J359" s="18">
        <v>0</v>
      </c>
      <c r="K359" s="18">
        <v>618.42999999999995</v>
      </c>
      <c r="L359" s="19">
        <f>SUM(F359:K359)</f>
        <v>167055.00999999998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331542.37</v>
      </c>
      <c r="I362" s="47">
        <f t="shared" si="22"/>
        <v>0</v>
      </c>
      <c r="J362" s="47">
        <f t="shared" si="22"/>
        <v>11867.95</v>
      </c>
      <c r="K362" s="47">
        <f t="shared" si="22"/>
        <v>994.12999999999988</v>
      </c>
      <c r="L362" s="47">
        <f t="shared" si="22"/>
        <v>344404.45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>
        <v>0</v>
      </c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>
        <v>0</v>
      </c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5.64</v>
      </c>
      <c r="I389" s="18"/>
      <c r="J389" s="24" t="s">
        <v>289</v>
      </c>
      <c r="K389" s="24" t="s">
        <v>289</v>
      </c>
      <c r="L389" s="56">
        <f t="shared" si="25"/>
        <v>5.64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5.64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5.64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12.54</v>
      </c>
      <c r="I396" s="18"/>
      <c r="J396" s="24" t="s">
        <v>289</v>
      </c>
      <c r="K396" s="24" t="s">
        <v>289</v>
      </c>
      <c r="L396" s="56">
        <f t="shared" si="26"/>
        <v>12.54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5.03</v>
      </c>
      <c r="I397" s="18"/>
      <c r="J397" s="24" t="s">
        <v>289</v>
      </c>
      <c r="K397" s="24" t="s">
        <v>289</v>
      </c>
      <c r="L397" s="56">
        <f t="shared" si="26"/>
        <v>5.03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10.59</v>
      </c>
      <c r="I400" s="18"/>
      <c r="J400" s="24" t="s">
        <v>289</v>
      </c>
      <c r="K400" s="24" t="s">
        <v>289</v>
      </c>
      <c r="L400" s="56">
        <f t="shared" si="26"/>
        <v>10.59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28.16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28.16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33.799999999999997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33.799999999999997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150000</v>
      </c>
      <c r="I422" s="18">
        <v>0</v>
      </c>
      <c r="J422" s="18"/>
      <c r="K422" s="18"/>
      <c r="L422" s="56">
        <f t="shared" si="29"/>
        <v>150000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150000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150000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150000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150000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236475.22</v>
      </c>
      <c r="H439" s="18"/>
      <c r="I439" s="56">
        <f t="shared" ref="I439:I445" si="33">SUM(F439:H439)</f>
        <v>236475.22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236475.22</v>
      </c>
      <c r="H446" s="13">
        <f>SUM(H439:H445)</f>
        <v>0</v>
      </c>
      <c r="I446" s="13">
        <f>SUM(I439:I445)</f>
        <v>236475.22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236475.22</v>
      </c>
      <c r="H459" s="18"/>
      <c r="I459" s="56">
        <f t="shared" si="34"/>
        <v>236475.22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236475.22</v>
      </c>
      <c r="H460" s="83">
        <f>SUM(H454:H459)</f>
        <v>0</v>
      </c>
      <c r="I460" s="83">
        <f>SUM(I454:I459)</f>
        <v>236475.22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236475.22</v>
      </c>
      <c r="H461" s="42">
        <f>H452+H460</f>
        <v>0</v>
      </c>
      <c r="I461" s="42">
        <f>I452+I460</f>
        <v>236475.22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149352.06</v>
      </c>
      <c r="G465" s="18">
        <v>46742.82</v>
      </c>
      <c r="H465" s="18">
        <v>0</v>
      </c>
      <c r="I465" s="18">
        <v>0</v>
      </c>
      <c r="J465" s="18">
        <v>386441.42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13939622.550000001</v>
      </c>
      <c r="G468" s="18">
        <v>372406.25</v>
      </c>
      <c r="H468" s="18">
        <v>85876.41</v>
      </c>
      <c r="I468" s="18">
        <v>0</v>
      </c>
      <c r="J468" s="18">
        <v>33.799999999999997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10661.34</v>
      </c>
      <c r="G469" s="18">
        <v>6789.29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13950283.890000001</v>
      </c>
      <c r="G470" s="53">
        <f>SUM(G468:G469)</f>
        <v>379195.54</v>
      </c>
      <c r="H470" s="53">
        <f>SUM(H468:H469)</f>
        <v>85876.41</v>
      </c>
      <c r="I470" s="53">
        <f>SUM(I468:I469)</f>
        <v>0</v>
      </c>
      <c r="J470" s="53">
        <f>SUM(J468:J469)</f>
        <v>33.799999999999997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13586331.73</v>
      </c>
      <c r="G472" s="18">
        <v>344404.45</v>
      </c>
      <c r="H472" s="18">
        <v>82932.960000000006</v>
      </c>
      <c r="I472" s="18">
        <v>0</v>
      </c>
      <c r="J472" s="18">
        <v>150000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13586331.73</v>
      </c>
      <c r="G474" s="53">
        <f>SUM(G472:G473)</f>
        <v>344404.45</v>
      </c>
      <c r="H474" s="53">
        <f>SUM(H472:H473)</f>
        <v>82932.960000000006</v>
      </c>
      <c r="I474" s="53">
        <f>SUM(I472:I473)</f>
        <v>0</v>
      </c>
      <c r="J474" s="53">
        <f>SUM(J472:J473)</f>
        <v>150000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513304.22000000067</v>
      </c>
      <c r="G476" s="53">
        <f>(G465+G470)- G474</f>
        <v>81533.909999999974</v>
      </c>
      <c r="H476" s="53">
        <f>(H465+H470)- H474</f>
        <v>2943.4499999999971</v>
      </c>
      <c r="I476" s="53">
        <f>(I465+I470)- I474</f>
        <v>0</v>
      </c>
      <c r="J476" s="53">
        <f>(J465+J470)- J474</f>
        <v>236475.21999999997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916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18000000</v>
      </c>
      <c r="G493" s="18">
        <v>300000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3.5</v>
      </c>
      <c r="G494" s="18">
        <v>2.25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11700000</v>
      </c>
      <c r="G495" s="18">
        <v>300000</v>
      </c>
      <c r="H495" s="18"/>
      <c r="I495" s="18"/>
      <c r="J495" s="18"/>
      <c r="K495" s="53">
        <f>SUM(F495:J495)</f>
        <v>12000000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900000</v>
      </c>
      <c r="G497" s="18">
        <v>212254.82</v>
      </c>
      <c r="H497" s="18"/>
      <c r="I497" s="18"/>
      <c r="J497" s="18"/>
      <c r="K497" s="53">
        <f t="shared" si="35"/>
        <v>1112254.82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10800000</v>
      </c>
      <c r="G498" s="204">
        <v>87745.18</v>
      </c>
      <c r="H498" s="204"/>
      <c r="I498" s="204"/>
      <c r="J498" s="204"/>
      <c r="K498" s="205">
        <f t="shared" si="35"/>
        <v>10887745.18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2641500</v>
      </c>
      <c r="G499" s="18">
        <v>2300</v>
      </c>
      <c r="H499" s="18"/>
      <c r="I499" s="18"/>
      <c r="J499" s="18"/>
      <c r="K499" s="53">
        <f t="shared" si="35"/>
        <v>2643800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13441500</v>
      </c>
      <c r="G500" s="42">
        <f>SUM(G498:G499)</f>
        <v>90045.18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13531545.18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900000</v>
      </c>
      <c r="G501" s="204">
        <v>67395.179999999993</v>
      </c>
      <c r="H501" s="204"/>
      <c r="I501" s="204"/>
      <c r="J501" s="204"/>
      <c r="K501" s="205">
        <f t="shared" si="35"/>
        <v>967395.17999999993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418500</v>
      </c>
      <c r="G502" s="18">
        <v>1514.95</v>
      </c>
      <c r="H502" s="18"/>
      <c r="I502" s="18"/>
      <c r="J502" s="18"/>
      <c r="K502" s="53">
        <f t="shared" si="35"/>
        <v>420014.95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1318500</v>
      </c>
      <c r="G503" s="42">
        <f>SUM(G501:G502)</f>
        <v>68910.12999999999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1387410.13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738591.92</v>
      </c>
      <c r="G521" s="18">
        <v>244074.22</v>
      </c>
      <c r="H521" s="18">
        <v>93318.2</v>
      </c>
      <c r="I521" s="18">
        <v>6606.73</v>
      </c>
      <c r="J521" s="18">
        <v>3412.62</v>
      </c>
      <c r="K521" s="18">
        <v>8539.02</v>
      </c>
      <c r="L521" s="88">
        <f>SUM(F521:K521)</f>
        <v>1094542.7100000002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676838.33</v>
      </c>
      <c r="G522" s="18">
        <v>228133.3</v>
      </c>
      <c r="H522" s="18">
        <v>156135.01999999999</v>
      </c>
      <c r="I522" s="18">
        <v>9661.73</v>
      </c>
      <c r="J522" s="18">
        <v>3445.12</v>
      </c>
      <c r="K522" s="18">
        <v>6518.87</v>
      </c>
      <c r="L522" s="88">
        <f>SUM(F522:K522)</f>
        <v>1080732.3700000001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1415430.25</v>
      </c>
      <c r="G524" s="108">
        <f t="shared" ref="G524:L524" si="36">SUM(G521:G523)</f>
        <v>472207.52</v>
      </c>
      <c r="H524" s="108">
        <f t="shared" si="36"/>
        <v>249453.21999999997</v>
      </c>
      <c r="I524" s="108">
        <f t="shared" si="36"/>
        <v>16268.46</v>
      </c>
      <c r="J524" s="108">
        <f t="shared" si="36"/>
        <v>6857.74</v>
      </c>
      <c r="K524" s="108">
        <f t="shared" si="36"/>
        <v>15057.89</v>
      </c>
      <c r="L524" s="89">
        <f t="shared" si="36"/>
        <v>2175275.08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147314.56</v>
      </c>
      <c r="G526" s="18">
        <v>89711.91</v>
      </c>
      <c r="H526" s="18">
        <v>0</v>
      </c>
      <c r="I526" s="18">
        <v>2194.1799999999998</v>
      </c>
      <c r="J526" s="18">
        <v>1193.55</v>
      </c>
      <c r="K526" s="18">
        <v>0</v>
      </c>
      <c r="L526" s="88">
        <f>SUM(F526:K526)</f>
        <v>240414.19999999998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34382.65</v>
      </c>
      <c r="G527" s="18">
        <v>26748.5</v>
      </c>
      <c r="H527" s="18">
        <v>19097</v>
      </c>
      <c r="I527" s="18">
        <v>30.8</v>
      </c>
      <c r="J527" s="18">
        <v>206.87</v>
      </c>
      <c r="K527" s="18">
        <v>0</v>
      </c>
      <c r="L527" s="88">
        <f>SUM(F527:K527)</f>
        <v>80465.819999999992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181697.21</v>
      </c>
      <c r="G529" s="89">
        <f t="shared" ref="G529:L529" si="37">SUM(G526:G528)</f>
        <v>116460.41</v>
      </c>
      <c r="H529" s="89">
        <f t="shared" si="37"/>
        <v>19097</v>
      </c>
      <c r="I529" s="89">
        <f t="shared" si="37"/>
        <v>2224.98</v>
      </c>
      <c r="J529" s="89">
        <f t="shared" si="37"/>
        <v>1400.42</v>
      </c>
      <c r="K529" s="89">
        <f t="shared" si="37"/>
        <v>0</v>
      </c>
      <c r="L529" s="89">
        <f t="shared" si="37"/>
        <v>320880.01999999996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22863.4</v>
      </c>
      <c r="G531" s="18">
        <v>10045.08</v>
      </c>
      <c r="H531" s="18">
        <v>146.19999999999999</v>
      </c>
      <c r="I531" s="18">
        <v>0</v>
      </c>
      <c r="J531" s="18">
        <v>0</v>
      </c>
      <c r="K531" s="18">
        <v>200.85</v>
      </c>
      <c r="L531" s="88">
        <f>SUM(F531:K531)</f>
        <v>33255.53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22863.4</v>
      </c>
      <c r="G532" s="18">
        <v>10045.07</v>
      </c>
      <c r="H532" s="18">
        <v>146.19</v>
      </c>
      <c r="I532" s="18">
        <v>0</v>
      </c>
      <c r="J532" s="18">
        <v>0</v>
      </c>
      <c r="K532" s="18">
        <v>200.85</v>
      </c>
      <c r="L532" s="88">
        <f>SUM(F532:K532)</f>
        <v>33255.51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45726.8</v>
      </c>
      <c r="G534" s="89">
        <f t="shared" ref="G534:L534" si="38">SUM(G531:G533)</f>
        <v>20090.150000000001</v>
      </c>
      <c r="H534" s="89">
        <f t="shared" si="38"/>
        <v>292.39</v>
      </c>
      <c r="I534" s="89">
        <f t="shared" si="38"/>
        <v>0</v>
      </c>
      <c r="J534" s="89">
        <f t="shared" si="38"/>
        <v>0</v>
      </c>
      <c r="K534" s="89">
        <f t="shared" si="38"/>
        <v>401.7</v>
      </c>
      <c r="L534" s="89">
        <f t="shared" si="38"/>
        <v>66511.040000000008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1593.02</v>
      </c>
      <c r="I536" s="18"/>
      <c r="J536" s="18"/>
      <c r="K536" s="18"/>
      <c r="L536" s="88">
        <f>SUM(F536:K536)</f>
        <v>1593.02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1611.82</v>
      </c>
      <c r="I537" s="18"/>
      <c r="J537" s="18"/>
      <c r="K537" s="18"/>
      <c r="L537" s="88">
        <f>SUM(F537:K537)</f>
        <v>1611.82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3204.84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3204.84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171496.45</v>
      </c>
      <c r="I541" s="18"/>
      <c r="J541" s="18"/>
      <c r="K541" s="18"/>
      <c r="L541" s="88">
        <f>SUM(F541:K541)</f>
        <v>171496.45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112797.12</v>
      </c>
      <c r="I542" s="18"/>
      <c r="J542" s="18"/>
      <c r="K542" s="18"/>
      <c r="L542" s="88">
        <f>SUM(F542:K542)</f>
        <v>112797.12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284293.57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284293.57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1642854.26</v>
      </c>
      <c r="G545" s="89">
        <f t="shared" ref="G545:L545" si="41">G524+G529+G534+G539+G544</f>
        <v>608758.08000000007</v>
      </c>
      <c r="H545" s="89">
        <f t="shared" si="41"/>
        <v>556341.02</v>
      </c>
      <c r="I545" s="89">
        <f t="shared" si="41"/>
        <v>18493.439999999999</v>
      </c>
      <c r="J545" s="89">
        <f t="shared" si="41"/>
        <v>8258.16</v>
      </c>
      <c r="K545" s="89">
        <f t="shared" si="41"/>
        <v>15459.59</v>
      </c>
      <c r="L545" s="89">
        <f t="shared" si="41"/>
        <v>2850164.55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1094542.7100000002</v>
      </c>
      <c r="G549" s="87">
        <f>L526</f>
        <v>240414.19999999998</v>
      </c>
      <c r="H549" s="87">
        <f>L531</f>
        <v>33255.53</v>
      </c>
      <c r="I549" s="87">
        <f>L536</f>
        <v>1593.02</v>
      </c>
      <c r="J549" s="87">
        <f>L541</f>
        <v>171496.45</v>
      </c>
      <c r="K549" s="87">
        <f>SUM(F549:J549)</f>
        <v>1541301.9100000001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1080732.3700000001</v>
      </c>
      <c r="G550" s="87">
        <f>L527</f>
        <v>80465.819999999992</v>
      </c>
      <c r="H550" s="87">
        <f>L532</f>
        <v>33255.51</v>
      </c>
      <c r="I550" s="87">
        <f>L537</f>
        <v>1611.82</v>
      </c>
      <c r="J550" s="87">
        <f>L542</f>
        <v>112797.12</v>
      </c>
      <c r="K550" s="87">
        <f>SUM(F550:J550)</f>
        <v>1308862.6400000001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2175275.08</v>
      </c>
      <c r="G552" s="89">
        <f t="shared" si="42"/>
        <v>320880.01999999996</v>
      </c>
      <c r="H552" s="89">
        <f t="shared" si="42"/>
        <v>66511.040000000008</v>
      </c>
      <c r="I552" s="89">
        <f t="shared" si="42"/>
        <v>3204.84</v>
      </c>
      <c r="J552" s="89">
        <f t="shared" si="42"/>
        <v>284293.57</v>
      </c>
      <c r="K552" s="89">
        <f t="shared" si="42"/>
        <v>2850164.5500000003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487.46</v>
      </c>
      <c r="G562" s="18">
        <v>104.74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592.19999999999993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487.46</v>
      </c>
      <c r="G563" s="18">
        <v>104.74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592.19999999999993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974.92</v>
      </c>
      <c r="G565" s="89">
        <f t="shared" si="44"/>
        <v>209.48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1184.3999999999999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22875.11</v>
      </c>
      <c r="G567" s="18">
        <v>15004.39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37879.5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22874.89</v>
      </c>
      <c r="G568" s="18">
        <v>15004.15</v>
      </c>
      <c r="H568" s="18">
        <v>0</v>
      </c>
      <c r="I568" s="18">
        <v>1961.35</v>
      </c>
      <c r="J568" s="18">
        <v>0</v>
      </c>
      <c r="K568" s="18">
        <v>0</v>
      </c>
      <c r="L568" s="88">
        <f>SUM(F568:K568)</f>
        <v>39840.39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45750</v>
      </c>
      <c r="G570" s="193">
        <f t="shared" ref="G570:L570" si="45">SUM(G567:G569)</f>
        <v>30008.54</v>
      </c>
      <c r="H570" s="193">
        <f t="shared" si="45"/>
        <v>0</v>
      </c>
      <c r="I570" s="193">
        <f t="shared" si="45"/>
        <v>1961.35</v>
      </c>
      <c r="J570" s="193">
        <f t="shared" si="45"/>
        <v>0</v>
      </c>
      <c r="K570" s="193">
        <f t="shared" si="45"/>
        <v>0</v>
      </c>
      <c r="L570" s="193">
        <f t="shared" si="45"/>
        <v>77719.89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46724.92</v>
      </c>
      <c r="G571" s="89">
        <f t="shared" ref="G571:L571" si="46">G560+G565+G570</f>
        <v>30218.02</v>
      </c>
      <c r="H571" s="89">
        <f t="shared" si="46"/>
        <v>0</v>
      </c>
      <c r="I571" s="89">
        <f t="shared" si="46"/>
        <v>1961.35</v>
      </c>
      <c r="J571" s="89">
        <f t="shared" si="46"/>
        <v>0</v>
      </c>
      <c r="K571" s="89">
        <f t="shared" si="46"/>
        <v>0</v>
      </c>
      <c r="L571" s="89">
        <f t="shared" si="46"/>
        <v>78904.289999999994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53393.1</v>
      </c>
      <c r="G582" s="18">
        <v>94218.4</v>
      </c>
      <c r="H582" s="18"/>
      <c r="I582" s="87">
        <f t="shared" si="47"/>
        <v>147611.5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8521.1200000000008</v>
      </c>
      <c r="H583" s="18"/>
      <c r="I583" s="87">
        <f t="shared" si="47"/>
        <v>8521.1200000000008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>
        <v>0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240293.35</v>
      </c>
      <c r="I591" s="18">
        <v>241482.64</v>
      </c>
      <c r="J591" s="18"/>
      <c r="K591" s="104">
        <f t="shared" ref="K591:K597" si="48">SUM(H591:J591)</f>
        <v>481775.99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171496.45</v>
      </c>
      <c r="I592" s="18">
        <v>112797.12</v>
      </c>
      <c r="J592" s="18"/>
      <c r="K592" s="104">
        <f t="shared" si="48"/>
        <v>284293.57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11798.64</v>
      </c>
      <c r="J594" s="18"/>
      <c r="K594" s="104">
        <f t="shared" si="48"/>
        <v>11798.64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500</v>
      </c>
      <c r="I595" s="18">
        <v>2172.29</v>
      </c>
      <c r="J595" s="18"/>
      <c r="K595" s="104">
        <f t="shared" si="48"/>
        <v>2672.29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412289.80000000005</v>
      </c>
      <c r="I598" s="108">
        <f>SUM(I591:I597)</f>
        <v>368250.69</v>
      </c>
      <c r="J598" s="108">
        <f>SUM(J591:J597)</f>
        <v>0</v>
      </c>
      <c r="K598" s="108">
        <f>SUM(K591:K597)</f>
        <v>780540.49000000011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98193.600000000006</v>
      </c>
      <c r="I604" s="18">
        <v>95301.03</v>
      </c>
      <c r="J604" s="18"/>
      <c r="K604" s="104">
        <f>SUM(H604:J604)</f>
        <v>193494.63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98193.600000000006</v>
      </c>
      <c r="I605" s="108">
        <f>SUM(I602:I604)</f>
        <v>95301.03</v>
      </c>
      <c r="J605" s="108">
        <f>SUM(J602:J604)</f>
        <v>0</v>
      </c>
      <c r="K605" s="108">
        <f>SUM(K602:K604)</f>
        <v>193494.63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16860</v>
      </c>
      <c r="G611" s="18">
        <v>2961.42</v>
      </c>
      <c r="H611" s="18">
        <v>1590</v>
      </c>
      <c r="I611" s="18">
        <v>0</v>
      </c>
      <c r="J611" s="18">
        <v>0</v>
      </c>
      <c r="K611" s="18">
        <v>0</v>
      </c>
      <c r="L611" s="88">
        <f>SUM(F611:K611)</f>
        <v>21411.42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15161.25</v>
      </c>
      <c r="G612" s="18">
        <v>2222.98</v>
      </c>
      <c r="H612" s="18">
        <v>18289.64</v>
      </c>
      <c r="I612" s="18">
        <v>10.29</v>
      </c>
      <c r="J612" s="18">
        <v>0</v>
      </c>
      <c r="K612" s="18"/>
      <c r="L612" s="88">
        <f>SUM(F612:K612)</f>
        <v>35684.159999999996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32021.25</v>
      </c>
      <c r="G614" s="108">
        <f t="shared" si="49"/>
        <v>5184.3999999999996</v>
      </c>
      <c r="H614" s="108">
        <f t="shared" si="49"/>
        <v>19879.64</v>
      </c>
      <c r="I614" s="108">
        <f t="shared" si="49"/>
        <v>10.29</v>
      </c>
      <c r="J614" s="108">
        <f t="shared" si="49"/>
        <v>0</v>
      </c>
      <c r="K614" s="108">
        <f t="shared" si="49"/>
        <v>0</v>
      </c>
      <c r="L614" s="89">
        <f t="shared" si="49"/>
        <v>57095.579999999994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1354813.8299999998</v>
      </c>
      <c r="H617" s="109">
        <f>SUM(F52)</f>
        <v>1354813.83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88470.29</v>
      </c>
      <c r="H618" s="109">
        <f>SUM(G52)</f>
        <v>88470.290000000008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2943.4500000000007</v>
      </c>
      <c r="H619" s="109">
        <f>SUM(H52)</f>
        <v>2943.45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236475.22</v>
      </c>
      <c r="H621" s="109">
        <f>SUM(J52)</f>
        <v>236475.22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513304.22</v>
      </c>
      <c r="H622" s="109">
        <f>F476</f>
        <v>513304.22000000067</v>
      </c>
      <c r="I622" s="121" t="s">
        <v>101</v>
      </c>
      <c r="J622" s="109">
        <f t="shared" ref="J622:J655" si="50">G622-H622</f>
        <v>-6.9849193096160889E-10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81533.91</v>
      </c>
      <c r="H623" s="109">
        <f>G476</f>
        <v>81533.909999999974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2943.45</v>
      </c>
      <c r="H624" s="109">
        <f>H476</f>
        <v>2943.4499999999971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236475.22</v>
      </c>
      <c r="H626" s="109">
        <f>J476</f>
        <v>236475.21999999997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13939622.549999999</v>
      </c>
      <c r="H627" s="104">
        <f>SUM(F468)</f>
        <v>13939622.550000001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372406.25</v>
      </c>
      <c r="H628" s="104">
        <f>SUM(G468)</f>
        <v>372406.25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85876.41</v>
      </c>
      <c r="H629" s="104">
        <f>SUM(H468)</f>
        <v>85876.41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33.799999999999997</v>
      </c>
      <c r="H631" s="104">
        <f>SUM(J468)</f>
        <v>33.799999999999997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13586331.729999999</v>
      </c>
      <c r="H632" s="104">
        <f>SUM(F472)</f>
        <v>13586331.73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82932.959999999992</v>
      </c>
      <c r="H633" s="104">
        <f>SUM(H472)</f>
        <v>82932.960000000006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344404.45</v>
      </c>
      <c r="H635" s="104">
        <f>SUM(G472)</f>
        <v>344404.45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33.799999999999997</v>
      </c>
      <c r="H637" s="164">
        <f>SUM(J468)</f>
        <v>33.799999999999997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150000</v>
      </c>
      <c r="H638" s="164">
        <f>SUM(J472)</f>
        <v>150000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236475.22</v>
      </c>
      <c r="H640" s="104">
        <f>SUM(G461)</f>
        <v>236475.22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236475.22</v>
      </c>
      <c r="H642" s="104">
        <f>SUM(I461)</f>
        <v>236475.22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33.799999999999997</v>
      </c>
      <c r="H644" s="104">
        <f>H408</f>
        <v>33.799999999999997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33.799999999999997</v>
      </c>
      <c r="H646" s="104">
        <f>L408</f>
        <v>33.799999999999997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780540.49000000011</v>
      </c>
      <c r="H647" s="104">
        <f>L208+L226+L244</f>
        <v>780540.49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193494.63</v>
      </c>
      <c r="H648" s="104">
        <f>(J257+J338)-(J255+J336)</f>
        <v>193494.63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412289.8</v>
      </c>
      <c r="H649" s="104">
        <f>H598</f>
        <v>412289.80000000005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368250.69</v>
      </c>
      <c r="H650" s="104">
        <f>I598</f>
        <v>368250.69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1409.65</v>
      </c>
      <c r="H652" s="104">
        <f>K263+K345</f>
        <v>1409.65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6243116.8499999996</v>
      </c>
      <c r="G660" s="19">
        <f>(L229+L309+L359)</f>
        <v>6071998.0999999996</v>
      </c>
      <c r="H660" s="19">
        <f>(L247+L328+L360)</f>
        <v>0</v>
      </c>
      <c r="I660" s="19">
        <f>SUM(F660:H660)</f>
        <v>12315114.949999999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109506.17919908527</v>
      </c>
      <c r="G661" s="19">
        <f>(L359/IF(SUM(L358:L360)=0,1,SUM(L358:L360))*(SUM(G97:G110)))</f>
        <v>103149.78080091471</v>
      </c>
      <c r="H661" s="19">
        <f>(L360/IF(SUM(L358:L360)=0,1,SUM(L358:L360))*(SUM(G97:G110)))</f>
        <v>0</v>
      </c>
      <c r="I661" s="19">
        <f>SUM(F661:H661)</f>
        <v>212655.95999999996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412289.8</v>
      </c>
      <c r="G662" s="19">
        <f>(L226+L306)-(J226+J306)</f>
        <v>368250.69</v>
      </c>
      <c r="H662" s="19">
        <f>(L244+L325)-(J244+J325)</f>
        <v>0</v>
      </c>
      <c r="I662" s="19">
        <f>SUM(F662:H662)</f>
        <v>780540.49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172998.12</v>
      </c>
      <c r="G663" s="199">
        <f>SUM(G575:G587)+SUM(I602:I604)+L612</f>
        <v>233724.71</v>
      </c>
      <c r="H663" s="199">
        <f>SUM(H575:H587)+SUM(J602:J604)+L613</f>
        <v>0</v>
      </c>
      <c r="I663" s="19">
        <f>SUM(F663:H663)</f>
        <v>406722.82999999996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5548322.7508009141</v>
      </c>
      <c r="G664" s="19">
        <f>G660-SUM(G661:G663)</f>
        <v>5366872.9191990849</v>
      </c>
      <c r="H664" s="19">
        <f>H660-SUM(H661:H663)</f>
        <v>0</v>
      </c>
      <c r="I664" s="19">
        <f>I660-SUM(I661:I663)</f>
        <v>10915195.67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472.53</v>
      </c>
      <c r="G665" s="248">
        <v>481.14</v>
      </c>
      <c r="H665" s="248"/>
      <c r="I665" s="19">
        <f>SUM(F665:H665)</f>
        <v>953.67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11741.74</v>
      </c>
      <c r="G667" s="19">
        <f>ROUND(G664/G665,2)</f>
        <v>11154.49</v>
      </c>
      <c r="H667" s="19" t="e">
        <f>ROUND(H664/H665,2)</f>
        <v>#DIV/0!</v>
      </c>
      <c r="I667" s="19">
        <f>ROUND(I664/I665,2)</f>
        <v>11445.46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11741.74</v>
      </c>
      <c r="G672" s="19">
        <f>ROUND((G664+G669)/(G665+G670),2)</f>
        <v>11154.49</v>
      </c>
      <c r="H672" s="19" t="e">
        <f>ROUND((H664+H669)/(H665+H670),2)</f>
        <v>#DIV/0!</v>
      </c>
      <c r="I672" s="19">
        <f>ROUND((I664+I669)/(I665+I670),2)</f>
        <v>11445.46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WEARE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3086130.31</v>
      </c>
      <c r="C9" s="229">
        <f>'DOE25'!G197+'DOE25'!G215+'DOE25'!G233+'DOE25'!G276+'DOE25'!G295+'DOE25'!G314</f>
        <v>1533338.43</v>
      </c>
    </row>
    <row r="10" spans="1:3" x14ac:dyDescent="0.2">
      <c r="A10" t="s">
        <v>779</v>
      </c>
      <c r="B10" s="240">
        <v>2825942.83</v>
      </c>
      <c r="C10" s="240">
        <v>1509787.07</v>
      </c>
    </row>
    <row r="11" spans="1:3" x14ac:dyDescent="0.2">
      <c r="A11" t="s">
        <v>780</v>
      </c>
      <c r="B11" s="240">
        <v>108628.73</v>
      </c>
      <c r="C11" s="240">
        <v>11907.49</v>
      </c>
    </row>
    <row r="12" spans="1:3" x14ac:dyDescent="0.2">
      <c r="A12" t="s">
        <v>781</v>
      </c>
      <c r="B12" s="240">
        <v>151558.75</v>
      </c>
      <c r="C12" s="240">
        <v>11643.87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3086130.31</v>
      </c>
      <c r="C13" s="231">
        <f>SUM(C10:C12)</f>
        <v>1533338.4300000002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1415430.25</v>
      </c>
      <c r="C18" s="229">
        <f>'DOE25'!G198+'DOE25'!G216+'DOE25'!G234+'DOE25'!G277+'DOE25'!G296+'DOE25'!G315</f>
        <v>472207.52</v>
      </c>
    </row>
    <row r="19" spans="1:3" x14ac:dyDescent="0.2">
      <c r="A19" t="s">
        <v>779</v>
      </c>
      <c r="B19" s="240">
        <v>700579.66</v>
      </c>
      <c r="C19" s="240">
        <v>382409.57</v>
      </c>
    </row>
    <row r="20" spans="1:3" x14ac:dyDescent="0.2">
      <c r="A20" t="s">
        <v>780</v>
      </c>
      <c r="B20" s="240">
        <v>666491.27</v>
      </c>
      <c r="C20" s="240">
        <v>64572.23</v>
      </c>
    </row>
    <row r="21" spans="1:3" x14ac:dyDescent="0.2">
      <c r="A21" t="s">
        <v>781</v>
      </c>
      <c r="B21" s="240">
        <v>48359.32</v>
      </c>
      <c r="C21" s="240">
        <v>25225.72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1415430.2500000002</v>
      </c>
      <c r="C22" s="231">
        <f>SUM(C19:C21)</f>
        <v>472207.52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91077.46</v>
      </c>
      <c r="C36" s="235">
        <f>'DOE25'!G200+'DOE25'!G218+'DOE25'!G236+'DOE25'!G279+'DOE25'!G298+'DOE25'!G317</f>
        <v>13834.14</v>
      </c>
    </row>
    <row r="37" spans="1:3" x14ac:dyDescent="0.2">
      <c r="A37" t="s">
        <v>779</v>
      </c>
      <c r="B37" s="240">
        <v>48959.57</v>
      </c>
      <c r="C37" s="240">
        <v>9268.8700000000008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42117.89</v>
      </c>
      <c r="C39" s="240">
        <v>4565.2700000000004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91077.459999999992</v>
      </c>
      <c r="C40" s="231">
        <f>SUM(C37:C39)</f>
        <v>13834.140000000001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WEARE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7149660.0299999993</v>
      </c>
      <c r="D5" s="20">
        <f>SUM('DOE25'!L197:L200)+SUM('DOE25'!L215:L218)+SUM('DOE25'!L233:L236)-F5-G5</f>
        <v>7065675.9799999995</v>
      </c>
      <c r="E5" s="243"/>
      <c r="F5" s="255">
        <f>SUM('DOE25'!J197:J200)+SUM('DOE25'!J215:J218)+SUM('DOE25'!J233:J236)</f>
        <v>63745.560000000005</v>
      </c>
      <c r="G5" s="53">
        <f>SUM('DOE25'!K197:K200)+SUM('DOE25'!K215:K218)+SUM('DOE25'!K233:K236)</f>
        <v>20238.490000000002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769368.00999999989</v>
      </c>
      <c r="D6" s="20">
        <f>'DOE25'!L202+'DOE25'!L220+'DOE25'!L238-F6-G6</f>
        <v>767892.58999999985</v>
      </c>
      <c r="E6" s="243"/>
      <c r="F6" s="255">
        <f>'DOE25'!J202+'DOE25'!J220+'DOE25'!J238</f>
        <v>1475.42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512009.08999999991</v>
      </c>
      <c r="D7" s="20">
        <f>'DOE25'!L203+'DOE25'!L221+'DOE25'!L239-F7-G7</f>
        <v>357654.99999999994</v>
      </c>
      <c r="E7" s="243"/>
      <c r="F7" s="255">
        <f>'DOE25'!J203+'DOE25'!J221+'DOE25'!J239</f>
        <v>124467.42000000001</v>
      </c>
      <c r="G7" s="53">
        <f>'DOE25'!K203+'DOE25'!K221+'DOE25'!K239</f>
        <v>29886.67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375745.5</v>
      </c>
      <c r="D8" s="243"/>
      <c r="E8" s="20">
        <f>'DOE25'!L204+'DOE25'!L222+'DOE25'!L240-F8-G8-D9-D11</f>
        <v>364138.97</v>
      </c>
      <c r="F8" s="255">
        <f>'DOE25'!J204+'DOE25'!J222+'DOE25'!J240</f>
        <v>0</v>
      </c>
      <c r="G8" s="53">
        <f>'DOE25'!K204+'DOE25'!K222+'DOE25'!K240</f>
        <v>11606.529999999999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81474.16</v>
      </c>
      <c r="D9" s="244">
        <v>81474.16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7549.57</v>
      </c>
      <c r="D10" s="243"/>
      <c r="E10" s="244">
        <v>7549.57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138155.89000000001</v>
      </c>
      <c r="D11" s="244">
        <v>138155.89000000001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760402.7</v>
      </c>
      <c r="D12" s="20">
        <f>'DOE25'!L205+'DOE25'!L223+'DOE25'!L241-F12-G12</f>
        <v>757132.42999999993</v>
      </c>
      <c r="E12" s="243"/>
      <c r="F12" s="255">
        <f>'DOE25'!J205+'DOE25'!J223+'DOE25'!J241</f>
        <v>0</v>
      </c>
      <c r="G12" s="53">
        <f>'DOE25'!K205+'DOE25'!K223+'DOE25'!K241</f>
        <v>3270.27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1320421.67</v>
      </c>
      <c r="D14" s="20">
        <f>'DOE25'!L207+'DOE25'!L225+'DOE25'!L243-F14-G14</f>
        <v>1316615.44</v>
      </c>
      <c r="E14" s="243"/>
      <c r="F14" s="255">
        <f>'DOE25'!J207+'DOE25'!J225+'DOE25'!J243</f>
        <v>3806.23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780540.49</v>
      </c>
      <c r="D15" s="20">
        <f>'DOE25'!L208+'DOE25'!L226+'DOE25'!L244-F15-G15</f>
        <v>780540.49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279650</v>
      </c>
      <c r="D22" s="243"/>
      <c r="E22" s="243"/>
      <c r="F22" s="255">
        <f>'DOE25'!L255+'DOE25'!L336</f>
        <v>279650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1417494.54</v>
      </c>
      <c r="D25" s="243"/>
      <c r="E25" s="243"/>
      <c r="F25" s="258"/>
      <c r="G25" s="256"/>
      <c r="H25" s="257">
        <f>'DOE25'!L260+'DOE25'!L261+'DOE25'!L341+'DOE25'!L342</f>
        <v>1417494.54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344404.45</v>
      </c>
      <c r="D29" s="20">
        <f>'DOE25'!L358+'DOE25'!L359+'DOE25'!L360-'DOE25'!I367-F29-G29</f>
        <v>331542.37</v>
      </c>
      <c r="E29" s="243"/>
      <c r="F29" s="255">
        <f>'DOE25'!J358+'DOE25'!J359+'DOE25'!J360</f>
        <v>11867.95</v>
      </c>
      <c r="G29" s="53">
        <f>'DOE25'!K358+'DOE25'!K359+'DOE25'!K360</f>
        <v>994.12999999999988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82932.959999999992</v>
      </c>
      <c r="D31" s="20">
        <f>'DOE25'!L290+'DOE25'!L309+'DOE25'!L328+'DOE25'!L333+'DOE25'!L334+'DOE25'!L335-F31-G31</f>
        <v>81438.09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1494.87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11678122.439999998</v>
      </c>
      <c r="E33" s="246">
        <f>SUM(E5:E31)</f>
        <v>371688.54</v>
      </c>
      <c r="F33" s="246">
        <f>SUM(F5:F31)</f>
        <v>485012.58</v>
      </c>
      <c r="G33" s="246">
        <f>SUM(G5:G31)</f>
        <v>67490.959999999992</v>
      </c>
      <c r="H33" s="246">
        <f>SUM(H5:H31)</f>
        <v>1417494.54</v>
      </c>
    </row>
    <row r="35" spans="2:8" ht="12" thickBot="1" x14ac:dyDescent="0.25">
      <c r="B35" s="253" t="s">
        <v>847</v>
      </c>
      <c r="D35" s="254">
        <f>E33</f>
        <v>371688.54</v>
      </c>
      <c r="E35" s="249"/>
    </row>
    <row r="36" spans="2:8" ht="12" thickTop="1" x14ac:dyDescent="0.2">
      <c r="B36" t="s">
        <v>815</v>
      </c>
      <c r="D36" s="20">
        <f>D33</f>
        <v>11678122.439999998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1344811.75</v>
      </c>
      <c r="D8" s="95">
        <f>'DOE25'!G9</f>
        <v>68252.19</v>
      </c>
      <c r="E8" s="95">
        <f>'DOE25'!H9</f>
        <v>-26775.59</v>
      </c>
      <c r="F8" s="95">
        <f>'DOE25'!I9</f>
        <v>0</v>
      </c>
      <c r="G8" s="95">
        <f>'DOE25'!J9</f>
        <v>236475.22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1409.65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137.19</v>
      </c>
      <c r="D12" s="95">
        <f>'DOE25'!G13</f>
        <v>9313.2000000000007</v>
      </c>
      <c r="E12" s="95">
        <f>'DOE25'!H13</f>
        <v>29719.040000000001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9864.89</v>
      </c>
      <c r="D13" s="95">
        <f>'DOE25'!G14</f>
        <v>9495.25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1354813.8299999998</v>
      </c>
      <c r="D18" s="41">
        <f>SUM(D8:D17)</f>
        <v>88470.29</v>
      </c>
      <c r="E18" s="41">
        <f>SUM(E8:E17)</f>
        <v>2943.4500000000007</v>
      </c>
      <c r="F18" s="41">
        <f>SUM(F8:F17)</f>
        <v>0</v>
      </c>
      <c r="G18" s="41">
        <f>SUM(G8:G17)</f>
        <v>236475.22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1903.67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62982.5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25123.439999999999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751500</v>
      </c>
      <c r="D29" s="95">
        <f>'DOE25'!G30</f>
        <v>6936.38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841509.61</v>
      </c>
      <c r="D31" s="41">
        <f>SUM(D21:D30)</f>
        <v>6936.38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81533.91</v>
      </c>
      <c r="E47" s="95">
        <f>'DOE25'!H48</f>
        <v>2943.45</v>
      </c>
      <c r="F47" s="95">
        <f>'DOE25'!I48</f>
        <v>0</v>
      </c>
      <c r="G47" s="95">
        <f>'DOE25'!J48</f>
        <v>236475.22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488304.22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513304.22</v>
      </c>
      <c r="D50" s="41">
        <f>SUM(D34:D49)</f>
        <v>81533.91</v>
      </c>
      <c r="E50" s="41">
        <f>SUM(E34:E49)</f>
        <v>2943.45</v>
      </c>
      <c r="F50" s="41">
        <f>SUM(F34:F49)</f>
        <v>0</v>
      </c>
      <c r="G50" s="41">
        <f>SUM(G34:G49)</f>
        <v>236475.22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1354813.83</v>
      </c>
      <c r="D51" s="41">
        <f>D50+D31</f>
        <v>88470.290000000008</v>
      </c>
      <c r="E51" s="41">
        <f>E50+E31</f>
        <v>2943.45</v>
      </c>
      <c r="F51" s="41">
        <f>F50+F31</f>
        <v>0</v>
      </c>
      <c r="G51" s="41">
        <f>G50+G31</f>
        <v>236475.22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6947055</v>
      </c>
      <c r="D56" s="95">
        <f>'DOE25'!G60</f>
        <v>43600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26042</v>
      </c>
      <c r="D57" s="24" t="s">
        <v>289</v>
      </c>
      <c r="E57" s="95">
        <f>'DOE25'!H79</f>
        <v>37270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71965.259999999995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33.799999999999997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203130.71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54562.3</v>
      </c>
      <c r="D61" s="95">
        <f>SUM('DOE25'!G98:G110)</f>
        <v>9525.25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152569.56</v>
      </c>
      <c r="D62" s="130">
        <f>SUM(D57:D61)</f>
        <v>212655.96</v>
      </c>
      <c r="E62" s="130">
        <f>SUM(E57:E61)</f>
        <v>37270</v>
      </c>
      <c r="F62" s="130">
        <f>SUM(F57:F61)</f>
        <v>0</v>
      </c>
      <c r="G62" s="130">
        <f>SUM(G57:G61)</f>
        <v>33.799999999999997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7099624.5599999996</v>
      </c>
      <c r="D63" s="22">
        <f>D56+D62</f>
        <v>256255.96</v>
      </c>
      <c r="E63" s="22">
        <f>E56+E62</f>
        <v>37270</v>
      </c>
      <c r="F63" s="22">
        <f>F56+F62</f>
        <v>0</v>
      </c>
      <c r="G63" s="22">
        <f>G56+G62</f>
        <v>33.799999999999997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4766882.6399999997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1157796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5924678.6399999997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385686.4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84564.83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4795.87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470251.23000000004</v>
      </c>
      <c r="D78" s="130">
        <f>SUM(D72:D77)</f>
        <v>4795.87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6394929.8700000001</v>
      </c>
      <c r="D81" s="130">
        <f>SUM(D79:D80)+D78+D70</f>
        <v>4795.87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145068.12</v>
      </c>
      <c r="D88" s="95">
        <f>SUM('DOE25'!G153:G161)</f>
        <v>109944.77</v>
      </c>
      <c r="E88" s="95">
        <f>SUM('DOE25'!H153:H161)</f>
        <v>48606.41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145068.12</v>
      </c>
      <c r="D91" s="131">
        <f>SUM(D85:D90)</f>
        <v>109944.77</v>
      </c>
      <c r="E91" s="131">
        <f>SUM(E85:E90)</f>
        <v>48606.41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300000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1409.65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300000</v>
      </c>
      <c r="D103" s="86">
        <f>SUM(D93:D102)</f>
        <v>1409.65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13939622.549999999</v>
      </c>
      <c r="D104" s="86">
        <f>D63+D81+D91+D103</f>
        <v>372406.25</v>
      </c>
      <c r="E104" s="86">
        <f>E63+E81+E91+E103</f>
        <v>85876.41</v>
      </c>
      <c r="F104" s="86">
        <f>F63+F81+F91+F103</f>
        <v>0</v>
      </c>
      <c r="G104" s="86">
        <f>G63+G81+G103</f>
        <v>33.799999999999997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4895033.8599999994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2175275.08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79351.09</v>
      </c>
      <c r="D112" s="24" t="s">
        <v>289</v>
      </c>
      <c r="E112" s="95">
        <f>+('DOE25'!L279)+('DOE25'!L298)+('DOE25'!L317)</f>
        <v>34326.550000000003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7149660.0299999993</v>
      </c>
      <c r="D115" s="86">
        <f>SUM(D109:D114)</f>
        <v>0</v>
      </c>
      <c r="E115" s="86">
        <f>SUM(E109:E114)</f>
        <v>34326.550000000003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769368.00999999989</v>
      </c>
      <c r="D118" s="24" t="s">
        <v>289</v>
      </c>
      <c r="E118" s="95">
        <f>+('DOE25'!L281)+('DOE25'!L300)+('DOE25'!L319)</f>
        <v>26373.48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512009.08999999997</v>
      </c>
      <c r="D119" s="24" t="s">
        <v>289</v>
      </c>
      <c r="E119" s="95">
        <f>+('DOE25'!L282)+('DOE25'!L301)+('DOE25'!L320)</f>
        <v>20738.059999999998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595375.55000000005</v>
      </c>
      <c r="D120" s="24" t="s">
        <v>289</v>
      </c>
      <c r="E120" s="95">
        <f>+('DOE25'!L283)+('DOE25'!L302)+('DOE25'!L321)</f>
        <v>1494.87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760402.7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1320421.67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780540.49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344404.45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4738117.51</v>
      </c>
      <c r="D128" s="86">
        <f>SUM(D118:D127)</f>
        <v>344404.45</v>
      </c>
      <c r="E128" s="86">
        <f>SUM(E118:E127)</f>
        <v>48606.409999999996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279650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962254.82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455239.72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1409.65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5.64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28.16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-33.799999999999997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1698554.1899999995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13586331.729999999</v>
      </c>
      <c r="D145" s="86">
        <f>(D115+D128+D144)</f>
        <v>344404.45</v>
      </c>
      <c r="E145" s="86">
        <f>(E115+E128+E144)</f>
        <v>82932.959999999992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6/23/05</v>
      </c>
      <c r="C152" s="152" t="str">
        <f>'DOE25'!G491</f>
        <v>7/1/13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8/1/25</v>
      </c>
      <c r="C153" s="152" t="str">
        <f>'DOE25'!G492</f>
        <v>9/15/17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18000000</v>
      </c>
      <c r="C154" s="137">
        <f>'DOE25'!G493</f>
        <v>300000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3.5</v>
      </c>
      <c r="C155" s="137">
        <f>'DOE25'!G494</f>
        <v>2.25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11700000</v>
      </c>
      <c r="C156" s="137">
        <f>'DOE25'!G495</f>
        <v>300000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12000000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900000</v>
      </c>
      <c r="C158" s="137">
        <f>'DOE25'!G497</f>
        <v>212254.82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1112254.82</v>
      </c>
    </row>
    <row r="159" spans="1:9" x14ac:dyDescent="0.2">
      <c r="A159" s="22" t="s">
        <v>35</v>
      </c>
      <c r="B159" s="137">
        <f>'DOE25'!F498</f>
        <v>10800000</v>
      </c>
      <c r="C159" s="137">
        <f>'DOE25'!G498</f>
        <v>87745.18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10887745.18</v>
      </c>
    </row>
    <row r="160" spans="1:9" x14ac:dyDescent="0.2">
      <c r="A160" s="22" t="s">
        <v>36</v>
      </c>
      <c r="B160" s="137">
        <f>'DOE25'!F499</f>
        <v>2641500</v>
      </c>
      <c r="C160" s="137">
        <f>'DOE25'!G499</f>
        <v>2300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2643800</v>
      </c>
    </row>
    <row r="161" spans="1:7" x14ac:dyDescent="0.2">
      <c r="A161" s="22" t="s">
        <v>37</v>
      </c>
      <c r="B161" s="137">
        <f>'DOE25'!F500</f>
        <v>13441500</v>
      </c>
      <c r="C161" s="137">
        <f>'DOE25'!G500</f>
        <v>90045.18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13531545.18</v>
      </c>
    </row>
    <row r="162" spans="1:7" x14ac:dyDescent="0.2">
      <c r="A162" s="22" t="s">
        <v>38</v>
      </c>
      <c r="B162" s="137">
        <f>'DOE25'!F501</f>
        <v>900000</v>
      </c>
      <c r="C162" s="137">
        <f>'DOE25'!G501</f>
        <v>67395.179999999993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967395.17999999993</v>
      </c>
    </row>
    <row r="163" spans="1:7" x14ac:dyDescent="0.2">
      <c r="A163" s="22" t="s">
        <v>39</v>
      </c>
      <c r="B163" s="137">
        <f>'DOE25'!F502</f>
        <v>418500</v>
      </c>
      <c r="C163" s="137">
        <f>'DOE25'!G502</f>
        <v>1514.95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420014.95</v>
      </c>
    </row>
    <row r="164" spans="1:7" x14ac:dyDescent="0.2">
      <c r="A164" s="22" t="s">
        <v>246</v>
      </c>
      <c r="B164" s="137">
        <f>'DOE25'!F503</f>
        <v>1318500</v>
      </c>
      <c r="C164" s="137">
        <f>'DOE25'!G503</f>
        <v>68910.12999999999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1387410.13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WEARE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11742</v>
      </c>
    </row>
    <row r="5" spans="1:4" x14ac:dyDescent="0.2">
      <c r="B5" t="s">
        <v>704</v>
      </c>
      <c r="C5" s="179">
        <f>IF('DOE25'!G665+'DOE25'!G670=0,0,ROUND('DOE25'!G672,0))</f>
        <v>11154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11445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4895034</v>
      </c>
      <c r="D10" s="182">
        <f>ROUND((C10/$C$28)*100,1)</f>
        <v>39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2175275</v>
      </c>
      <c r="D11" s="182">
        <f>ROUND((C11/$C$28)*100,1)</f>
        <v>17.3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113678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795741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532747</v>
      </c>
      <c r="D16" s="182">
        <f t="shared" si="0"/>
        <v>4.2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596870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760403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1320422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780540</v>
      </c>
      <c r="D21" s="182">
        <f t="shared" si="0"/>
        <v>6.2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455240</v>
      </c>
      <c r="D25" s="182">
        <f t="shared" si="0"/>
        <v>3.6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131748.04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12557698.039999999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279650</v>
      </c>
    </row>
    <row r="30" spans="1:4" x14ac:dyDescent="0.2">
      <c r="B30" s="187" t="s">
        <v>729</v>
      </c>
      <c r="C30" s="180">
        <f>SUM(C28:C29)</f>
        <v>12837348.039999999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962255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6990655</v>
      </c>
      <c r="D35" s="182">
        <f t="shared" ref="D35:D40" si="1">ROUND((C35/$C$41)*100,1)</f>
        <v>50.4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189873.3599999994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5924679</v>
      </c>
      <c r="D37" s="182">
        <f t="shared" si="1"/>
        <v>42.7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475047</v>
      </c>
      <c r="D38" s="182">
        <f t="shared" si="1"/>
        <v>3.4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303619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13883873.359999999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300000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WEARE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2014-08-27T19:00:16Z</cp:lastPrinted>
  <dcterms:created xsi:type="dcterms:W3CDTF">1997-12-04T19:04:30Z</dcterms:created>
  <dcterms:modified xsi:type="dcterms:W3CDTF">2014-08-27T19:01:11Z</dcterms:modified>
</cp:coreProperties>
</file>