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6" i="1" l="1"/>
  <c r="G521" i="1"/>
  <c r="F521" i="1"/>
  <c r="H521" i="1"/>
  <c r="I521" i="1"/>
  <c r="J468" i="1"/>
  <c r="I358" i="1"/>
  <c r="G358" i="1"/>
  <c r="H282" i="1"/>
  <c r="G282" i="1"/>
  <c r="F282" i="1"/>
  <c r="G277" i="1"/>
  <c r="F277" i="1"/>
  <c r="J276" i="1"/>
  <c r="I276" i="1"/>
  <c r="G276" i="1"/>
  <c r="K266" i="1"/>
  <c r="I205" i="1"/>
  <c r="I202" i="1"/>
  <c r="G204" i="1"/>
  <c r="G203" i="1"/>
  <c r="G202" i="1"/>
  <c r="G200" i="1"/>
  <c r="G198" i="1"/>
  <c r="H208" i="1"/>
  <c r="H204" i="1"/>
  <c r="H203" i="1"/>
  <c r="H202" i="1"/>
  <c r="H200" i="1"/>
  <c r="F204" i="1"/>
  <c r="F203" i="1"/>
  <c r="F202" i="1"/>
  <c r="F200" i="1"/>
  <c r="J179" i="1"/>
  <c r="J96" i="1"/>
  <c r="H159" i="1"/>
  <c r="H155" i="1"/>
  <c r="G97" i="1"/>
  <c r="F110" i="1"/>
  <c r="F12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E8" i="13" s="1"/>
  <c r="C8" i="13" s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C12" i="10" s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C124" i="2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C11" i="10" s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H25" i="13" s="1"/>
  <c r="L341" i="1"/>
  <c r="L342" i="1"/>
  <c r="L255" i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3" i="10"/>
  <c r="L250" i="1"/>
  <c r="L332" i="1"/>
  <c r="L254" i="1"/>
  <c r="C25" i="10"/>
  <c r="L268" i="1"/>
  <c r="L269" i="1"/>
  <c r="L349" i="1"/>
  <c r="L350" i="1"/>
  <c r="I665" i="1"/>
  <c r="I670" i="1"/>
  <c r="L229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K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C18" i="2" s="1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1" i="2"/>
  <c r="E111" i="2"/>
  <c r="E112" i="2"/>
  <c r="C113" i="2"/>
  <c r="E113" i="2"/>
  <c r="C114" i="2"/>
  <c r="E114" i="2"/>
  <c r="D115" i="2"/>
  <c r="F115" i="2"/>
  <c r="G115" i="2"/>
  <c r="E118" i="2"/>
  <c r="E119" i="2"/>
  <c r="E120" i="2"/>
  <c r="E121" i="2"/>
  <c r="E122" i="2"/>
  <c r="C123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G32" i="1"/>
  <c r="G52" i="1" s="1"/>
  <c r="H618" i="1" s="1"/>
  <c r="H32" i="1"/>
  <c r="I32" i="1"/>
  <c r="H617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F461" i="1"/>
  <c r="H639" i="1" s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I545" i="1" s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G641" i="1"/>
  <c r="H641" i="1"/>
  <c r="G643" i="1"/>
  <c r="H643" i="1"/>
  <c r="G644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K257" i="1"/>
  <c r="C26" i="10"/>
  <c r="L328" i="1"/>
  <c r="L351" i="1"/>
  <c r="A31" i="12"/>
  <c r="C70" i="2"/>
  <c r="D18" i="13"/>
  <c r="C18" i="13" s="1"/>
  <c r="D18" i="2"/>
  <c r="D17" i="13"/>
  <c r="C17" i="13" s="1"/>
  <c r="F78" i="2"/>
  <c r="F81" i="2" s="1"/>
  <c r="C78" i="2"/>
  <c r="D50" i="2"/>
  <c r="F18" i="2"/>
  <c r="E103" i="2"/>
  <c r="E62" i="2"/>
  <c r="E63" i="2" s="1"/>
  <c r="E31" i="2"/>
  <c r="D19" i="13"/>
  <c r="C19" i="13" s="1"/>
  <c r="D14" i="13"/>
  <c r="C14" i="13" s="1"/>
  <c r="E78" i="2"/>
  <c r="E81" i="2" s="1"/>
  <c r="L427" i="1"/>
  <c r="J257" i="1"/>
  <c r="J271" i="1" s="1"/>
  <c r="H112" i="1"/>
  <c r="F112" i="1"/>
  <c r="J641" i="1"/>
  <c r="J571" i="1"/>
  <c r="K571" i="1"/>
  <c r="L433" i="1"/>
  <c r="L419" i="1"/>
  <c r="D81" i="2"/>
  <c r="I169" i="1"/>
  <c r="J643" i="1"/>
  <c r="J476" i="1"/>
  <c r="H626" i="1" s="1"/>
  <c r="F476" i="1"/>
  <c r="H622" i="1" s="1"/>
  <c r="I476" i="1"/>
  <c r="H625" i="1" s="1"/>
  <c r="J625" i="1" s="1"/>
  <c r="G476" i="1"/>
  <c r="H623" i="1" s="1"/>
  <c r="J623" i="1" s="1"/>
  <c r="F169" i="1"/>
  <c r="J140" i="1"/>
  <c r="F571" i="1"/>
  <c r="I552" i="1"/>
  <c r="K550" i="1"/>
  <c r="G22" i="2"/>
  <c r="K545" i="1"/>
  <c r="J552" i="1"/>
  <c r="H552" i="1"/>
  <c r="C29" i="10"/>
  <c r="H140" i="1"/>
  <c r="L401" i="1"/>
  <c r="C139" i="2" s="1"/>
  <c r="F22" i="13"/>
  <c r="J651" i="1"/>
  <c r="H571" i="1"/>
  <c r="L560" i="1"/>
  <c r="J545" i="1"/>
  <c r="F338" i="1"/>
  <c r="F352" i="1" s="1"/>
  <c r="G192" i="1"/>
  <c r="H192" i="1"/>
  <c r="L309" i="1"/>
  <c r="E16" i="13"/>
  <c r="C16" i="13" s="1"/>
  <c r="L570" i="1"/>
  <c r="I571" i="1"/>
  <c r="J636" i="1"/>
  <c r="G36" i="2"/>
  <c r="L565" i="1"/>
  <c r="K551" i="1"/>
  <c r="C22" i="13"/>
  <c r="A13" i="12" l="1"/>
  <c r="K598" i="1"/>
  <c r="G647" i="1" s="1"/>
  <c r="H545" i="1"/>
  <c r="G552" i="1"/>
  <c r="L529" i="1"/>
  <c r="K552" i="1"/>
  <c r="L524" i="1"/>
  <c r="L545" i="1" s="1"/>
  <c r="K500" i="1"/>
  <c r="K503" i="1"/>
  <c r="H476" i="1"/>
  <c r="H624" i="1" s="1"/>
  <c r="J624" i="1" s="1"/>
  <c r="J640" i="1"/>
  <c r="I460" i="1"/>
  <c r="I461" i="1" s="1"/>
  <c r="H642" i="1" s="1"/>
  <c r="J639" i="1"/>
  <c r="I446" i="1"/>
  <c r="G642" i="1" s="1"/>
  <c r="H408" i="1"/>
  <c r="H644" i="1" s="1"/>
  <c r="J644" i="1" s="1"/>
  <c r="G408" i="1"/>
  <c r="H645" i="1" s="1"/>
  <c r="D127" i="2"/>
  <c r="D128" i="2" s="1"/>
  <c r="D145" i="2"/>
  <c r="G661" i="1"/>
  <c r="L362" i="1"/>
  <c r="F661" i="1"/>
  <c r="D29" i="13"/>
  <c r="C29" i="13" s="1"/>
  <c r="L290" i="1"/>
  <c r="E128" i="2"/>
  <c r="C16" i="10"/>
  <c r="E110" i="2"/>
  <c r="E115" i="2"/>
  <c r="J338" i="1"/>
  <c r="J352" i="1" s="1"/>
  <c r="C25" i="13"/>
  <c r="H33" i="13"/>
  <c r="K271" i="1"/>
  <c r="C110" i="2"/>
  <c r="L247" i="1"/>
  <c r="H660" i="1"/>
  <c r="H664" i="1" s="1"/>
  <c r="H667" i="1" s="1"/>
  <c r="H257" i="1"/>
  <c r="H271" i="1" s="1"/>
  <c r="C10" i="10"/>
  <c r="D7" i="13"/>
  <c r="C7" i="13" s="1"/>
  <c r="D12" i="13"/>
  <c r="C12" i="13" s="1"/>
  <c r="C19" i="10"/>
  <c r="C121" i="2"/>
  <c r="C109" i="2"/>
  <c r="D5" i="13"/>
  <c r="C5" i="13" s="1"/>
  <c r="F662" i="1"/>
  <c r="I662" i="1" s="1"/>
  <c r="C21" i="10"/>
  <c r="H647" i="1"/>
  <c r="D15" i="13"/>
  <c r="C15" i="13" s="1"/>
  <c r="G649" i="1"/>
  <c r="J649" i="1" s="1"/>
  <c r="C120" i="2"/>
  <c r="C118" i="2"/>
  <c r="E13" i="13"/>
  <c r="C13" i="13" s="1"/>
  <c r="C17" i="10"/>
  <c r="C119" i="2"/>
  <c r="L211" i="1"/>
  <c r="L257" i="1" s="1"/>
  <c r="L271" i="1" s="1"/>
  <c r="G632" i="1" s="1"/>
  <c r="J632" i="1" s="1"/>
  <c r="C15" i="10"/>
  <c r="G645" i="1"/>
  <c r="J645" i="1" s="1"/>
  <c r="C81" i="2"/>
  <c r="C62" i="2"/>
  <c r="C63" i="2" s="1"/>
  <c r="H52" i="1"/>
  <c r="H619" i="1" s="1"/>
  <c r="J619" i="1" s="1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H646" i="1"/>
  <c r="G50" i="2"/>
  <c r="G51" i="2" s="1"/>
  <c r="J652" i="1"/>
  <c r="G571" i="1"/>
  <c r="I434" i="1"/>
  <c r="G434" i="1"/>
  <c r="I663" i="1"/>
  <c r="C27" i="10"/>
  <c r="G635" i="1"/>
  <c r="J635" i="1" s="1"/>
  <c r="J647" i="1" l="1"/>
  <c r="J642" i="1"/>
  <c r="I661" i="1"/>
  <c r="H672" i="1"/>
  <c r="C6" i="10" s="1"/>
  <c r="G664" i="1"/>
  <c r="D31" i="13"/>
  <c r="C31" i="13" s="1"/>
  <c r="L338" i="1"/>
  <c r="L352" i="1" s="1"/>
  <c r="G633" i="1" s="1"/>
  <c r="J633" i="1" s="1"/>
  <c r="E145" i="2"/>
  <c r="H648" i="1"/>
  <c r="J648" i="1" s="1"/>
  <c r="C115" i="2"/>
  <c r="C128" i="2"/>
  <c r="E33" i="13"/>
  <c r="D35" i="13" s="1"/>
  <c r="F660" i="1"/>
  <c r="F664" i="1" s="1"/>
  <c r="F672" i="1" s="1"/>
  <c r="C4" i="10" s="1"/>
  <c r="C28" i="10"/>
  <c r="D24" i="10" s="1"/>
  <c r="C104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G667" i="1"/>
  <c r="C145" i="2"/>
  <c r="D26" i="10"/>
  <c r="C30" i="10"/>
  <c r="D16" i="10"/>
  <c r="I660" i="1"/>
  <c r="I664" i="1" s="1"/>
  <c r="I672" i="1" s="1"/>
  <c r="C7" i="10" s="1"/>
  <c r="D10" i="10"/>
  <c r="D23" i="10"/>
  <c r="F667" i="1"/>
  <c r="D20" i="10"/>
  <c r="D15" i="10"/>
  <c r="D25" i="10"/>
  <c r="D19" i="10"/>
  <c r="D13" i="10"/>
  <c r="D11" i="10"/>
  <c r="D21" i="10"/>
  <c r="D22" i="10"/>
  <c r="D27" i="10"/>
  <c r="D18" i="10"/>
  <c r="D17" i="10"/>
  <c r="D12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<sst xmlns="http://schemas.openxmlformats.org/spreadsheetml/2006/main" count="3958" uniqueCount="916">
  <si>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</si>
  <si>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</si>
  <si>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</si>
  <si>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</si>
  <si>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</si>
  <si>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</si>
  <si>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</si>
  <si>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</si>
  <si>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</si>
  <si>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</si>
  <si>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</si>
  <si>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</si>
  <si>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</si>
  <si>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</si>
  <si>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</si>
  <si>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</si>
  <si>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</si>
  <si>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</si>
  <si>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</si>
  <si>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</si>
  <si>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</si>
  <si>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</si>
  <si>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</si>
  <si>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</si>
  <si>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</si>
  <si>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</si>
  <si>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</si>
  <si>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</si>
  <si>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</si>
  <si>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</si>
  <si>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</si>
  <si>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</si>
  <si>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</si>
  <si>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</si>
  <si>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</si>
  <si>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</si>
  <si>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</si>
  <si>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</si>
  <si>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</si>
  <si>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</si>
  <si>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</si>
  <si>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</si>
  <si>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</si>
  <si>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</si>
  <si>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</si>
  <si>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</si>
  <si>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</si>
  <si>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</si>
  <si>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</si>
  <si>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</si>
  <si>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</si>
  <si>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</si>
  <si>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</si>
  <si>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</si>
  <si>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</si>
  <si>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</si>
  <si>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</si>
  <si>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</si>
  <si>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</si>
  <si>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</si>
  <si>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</si>
  <si>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</si>
  <si>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</si>
  <si>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</si>
  <si>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</si>
  <si>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</si>
  <si>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</si>
  <si>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</si>
  <si>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</si>
  <si>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</si>
  <si>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</si>
  <si>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</si>
  <si>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</si>
  <si>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</si>
  <si>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</si>
  <si>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</si>
  <si>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</si>
  <si>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</si>
  <si>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</si>
  <si>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</si>
  <si>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</si>
  <si>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</si>
  <si>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</si>
  <si>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</si>
  <si>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</si>
  <si>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</si>
  <si>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</si>
  <si>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</si>
  <si>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</si>
  <si>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</si>
  <si>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</si>
  <si>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</si>
  <si>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</si>
  <si>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</si>
  <si>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</si>
  <si>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</si>
  <si>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</si>
  <si>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</si>
  <si>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</si>
  <si>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</si>
  <si>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</si>
  <si>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</si>
  <si>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</si>
  <si>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</si>
  <si>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</si>
  <si>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</si>
  <si>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</si>
  <si>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</si>
  <si>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</si>
  <si>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</si>
  <si>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</si>
  <si>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</si>
  <si>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</si>
  <si>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</si>
  <si>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</si>
  <si>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</si>
  <si>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</si>
  <si>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</si>
  <si>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</si>
  <si>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</si>
  <si>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</si>
  <si>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</si>
  <si>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</si>
  <si>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</si>
  <si>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</si>
  <si>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</si>
  <si>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</si>
  <si>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</si>
  <si>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</si>
  <si>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</si>
  <si>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</si>
  <si>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</si>
  <si>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</si>
  <si>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</si>
  <si>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</si>
  <si>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</si>
  <si>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</si>
  <si>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</si>
  <si>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</si>
  <si>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</si>
  <si>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</si>
  <si>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</si>
  <si>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</si>
  <si>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</si>
  <si>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</si>
  <si>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</si>
  <si>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</si>
  <si>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</si>
  <si>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</si>
  <si>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</si>
  <si>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</si>
  <si>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</si>
  <si>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</si>
  <si>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</si>
  <si>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</si>
  <si>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</si>
  <si>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</si>
  <si>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</si>
  <si>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</si>
  <si>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</si>
  <si>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</si>
  <si>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</si>
  <si>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</si>
  <si>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</si>
  <si>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</si>
  <si>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</si>
  <si>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</si>
  <si>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</si>
  <si>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</si>
  <si>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</si>
  <si>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</si>
  <si>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</si>
  <si>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</si>
  <si>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</si>
  <si>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</si>
  <si>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</si>
  <si>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</si>
  <si>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</si>
  <si>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</si>
  <si>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</si>
  <si>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</si>
  <si>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</si>
  <si>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</si>
  <si>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</si>
  <si>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</si>
  <si>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</si>
  <si>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</si>
  <si>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</si>
  <si>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</si>
  <si>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</si>
  <si>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</si>
  <si>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</si>
  <si>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</si>
  <si>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</si>
  <si>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</si>
  <si>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</si>
  <si>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</si>
  <si>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</si>
  <si>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</si>
  <si>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</si>
  <si>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</si>
  <si>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</si>
  <si>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</si>
  <si>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</si>
  <si>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</si>
  <si>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</si>
  <si>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</si>
  <si>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</si>
  <si>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</si>
  <si>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</si>
  <si>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</si>
  <si>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</si>
  <si>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</si>
  <si>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</si>
  <si>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</si>
  <si>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</si>
  <si>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</si>
  <si>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</si>
  <si>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</si>
  <si>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</si>
  <si>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</si>
  <si>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</si>
  <si>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</si>
  <si>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</si>
  <si>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</si>
  <si>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</si>
  <si>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</si>
  <si>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</si>
  <si>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</si>
  <si>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</si>
  <si>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</si>
  <si>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</si>
  <si>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</si>
  <si>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</si>
  <si>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</si>
  <si>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</si>
  <si>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</si>
  <si>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</si>
  <si>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</si>
  <si>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</si>
  <si>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</si>
  <si>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</si>
  <si>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</si>
  <si>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</si>
  <si>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</si>
  <si>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</si>
  <si>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</si>
  <si>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</si>
  <si>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</si>
  <si>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</si>
  <si>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</si>
  <si>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</si>
  <si>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</si>
  <si>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</si>
  <si>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</si>
  <si>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</si>
  <si>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</si>
  <si>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</si>
  <si>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</si>
  <si>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</si>
  <si>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</si>
  <si>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</si>
  <si>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</si>
  <si>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</si>
  <si>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</si>
  <si>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</si>
  <si>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</si>
  <si>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</si>
  <si>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</si>
  <si>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</si>
  <si>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</si>
  <si>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</si>
  <si>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</si>
  <si>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</si>
  <si>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</si>
  <si>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</si>
  <si>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</si>
  <si>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</si>
  <si>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</si>
  <si>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</si>
  <si>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</si>
  <si>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</si>
  <si>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</si>
  <si>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</si>
  <si>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</si>
  <si>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</si>
  <si>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</si>
  <si>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</si>
  <si>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</si>
  <si>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</si>
  <si>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</si>
  <si>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</si>
  <si>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</si>
  <si>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</si>
  <si>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</si>
  <si>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</si>
  <si>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</si>
  <si>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</si>
  <si>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</si>
  <si>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</si>
  <si>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</si>
  <si>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</si>
  <si>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</si>
  <si>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</si>
  <si>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</si>
  <si>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</si>
  <si>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</si>
  <si>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</si>
  <si>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</si>
  <si>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</si>
  <si>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</si>
  <si>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</si>
  <si>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</si>
  <si>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</si>
  <si>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</si>
  <si>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</si>
  <si>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</si>
  <si>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</si>
  <si>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</si>
  <si>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</si>
  <si>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</si>
  <si>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</si>
  <si>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</si>
  <si>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</si>
  <si>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</si>
  <si>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</si>
  <si>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</si>
  <si>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</si>
  <si>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</si>
  <si>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</si>
  <si>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</si>
  <si>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</si>
  <si>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</si>
  <si>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</si>
  <si>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</si>
  <si>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</si>
  <si>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</si>
  <si>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</si>
  <si>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</si>
  <si>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</si>
  <si>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</si>
  <si>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</si>
  <si>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</si>
  <si>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</si>
  <si>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</si>
  <si>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</si>
  <si>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</si>
  <si>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</si>
  <si>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</si>
  <si>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</si>
  <si>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</si>
  <si>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</si>
  <si>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</si>
  <si>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</si>
  <si>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</si>
  <si>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</si>
  <si>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</si>
  <si>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</si>
  <si>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</si>
  <si>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</si>
  <si>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</si>
  <si>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</si>
  <si>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</si>
  <si>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</si>
  <si>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</si>
  <si>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</si>
  <si>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</si>
  <si>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</si>
  <si>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</si>
  <si>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</si>
  <si>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</si>
  <si>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</si>
  <si>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</si>
  <si>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</si>
  <si>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</si>
  <si>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</si>
  <si>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</si>
  <si>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</si>
  <si>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</si>
  <si>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</si>
  <si>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</si>
  <si>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</si>
  <si>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</si>
  <si>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</si>
  <si>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</si>
  <si>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</si>
  <si>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</si>
  <si>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</si>
  <si>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</si>
  <si>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</si>
  <si>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</si>
  <si>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</si>
  <si>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</si>
  <si>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</si>
  <si>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</si>
  <si>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</si>
  <si>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</si>
  <si>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</si>
  <si>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</si>
  <si>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</si>
  <si>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</si>
  <si>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</si>
  <si>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</si>
  <si>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</si>
  <si>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</si>
  <si>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</si>
  <si>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</si>
  <si>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</si>
  <si>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</si>
  <si>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</si>
  <si>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</si>
  <si>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</si>
  <si>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</si>
  <si>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</si>
  <si>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</si>
  <si>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</si>
  <si>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</si>
  <si>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</si>
  <si>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</si>
  <si>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</si>
  <si>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</si>
  <si>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</si>
  <si>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</si>
  <si>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</si>
  <si>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</si>
  <si>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</si>
  <si>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</si>
  <si>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</si>
  <si>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</si>
  <si>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</si>
  <si>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</si>
  <si>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</si>
  <si>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</si>
  <si>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</si>
  <si>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</si>
  <si>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</si>
  <si>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</si>
  <si>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</si>
  <si>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</si>
  <si>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</si>
  <si>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</si>
  <si>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</si>
  <si>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</si>
  <si>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</si>
  <si>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</si>
  <si>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</si>
  <si>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</si>
  <si>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</si>
  <si>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</si>
  <si>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</si>
  <si>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</si>
  <si>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</si>
  <si>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</si>
  <si>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</si>
  <si>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</si>
  <si>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</si>
  <si>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</si>
  <si>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</si>
  <si>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</si>
  <si>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</si>
  <si>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</si>
  <si>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</si>
  <si>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</si>
  <si>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</si>
  <si>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</si>
  <si>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</si>
  <si>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</si>
  <si>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</si>
  <si>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</si>
  <si>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</si>
  <si>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</si>
  <si>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</si>
  <si>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</si>
  <si>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</si>
  <si>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</si>
  <si>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</si>
  <si>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</si>
  <si>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</si>
  <si>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</si>
  <si>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</si>
  <si>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</si>
  <si>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</si>
  <si>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</si>
  <si>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</si>
  <si>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</si>
  <si>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</si>
  <si>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</si>
  <si>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</si>
  <si>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</si>
  <si>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</si>
  <si>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</si>
  <si>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</si>
  <si>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</si>
  <si>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</si>
  <si>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</si>
  <si>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</si>
  <si>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</si>
  <si>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</si>
  <si>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</si>
  <si>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</si>
  <si>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</si>
  <si>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</si>
  <si>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</si>
  <si>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</si>
  <si>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</si>
  <si>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</si>
  <si>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</si>
  <si>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</si>
  <si>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</si>
  <si>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</si>
  <si>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</si>
  <si>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</si>
  <si>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</si>
  <si>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</si>
  <si>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</si>
  <si>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</si>
  <si>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</si>
  <si>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</si>
  <si>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</si>
  <si>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</si>
  <si>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</si>
  <si>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</si>
  <si>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</si>
  <si>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</si>
  <si>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</si>
  <si>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</si>
  <si>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</si>
  <si>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</si>
  <si>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</si>
  <si>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</si>
  <si>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</si>
  <si>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</si>
  <si>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</si>
  <si>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</si>
  <si>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</si>
  <si>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</si>
  <si>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</si>
  <si>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</si>
  <si>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</si>
  <si>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</si>
  <si>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</si>
  <si>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</si>
  <si>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</si>
  <si>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</si>
  <si>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</si>
  <si>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</si>
  <si>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</si>
  <si>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</si>
  <si>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</si>
  <si>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</si>
  <si>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</si>
  <si>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</si>
  <si>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</si>
  <si>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</si>
  <si>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</si>
  <si>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</si>
  <si>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</si>
  <si>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</si>
  <si>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</si>
  <si>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</si>
  <si>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</si>
  <si>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</si>
  <si>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</si>
  <si>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</si>
  <si>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</si>
  <si>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</si>
  <si>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</si>
  <si>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</si>
  <si>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</si>
  <si>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</si>
  <si>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</si>
  <si>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</si>
  <si>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</si>
  <si>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</si>
  <si>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</si>
  <si>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</si>
  <si>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</si>
  <si>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</si>
  <si>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</si>
  <si>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</si>
  <si>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</si>
  <si>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</si>
  <si>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</si>
  <si>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</si>
  <si>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</si>
  <si>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</si>
  <si>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</si>
  <si>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</si>
  <si>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</si>
  <si>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</si>
  <si>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</si>
  <si>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</si>
  <si>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</si>
  <si>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</si>
  <si>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</si>
  <si>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</si>
  <si>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</si>
  <si>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</si>
  <si>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</si>
  <si>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</si>
  <si>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</si>
  <si>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</si>
  <si>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</si>
  <si>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</si>
  <si>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</si>
  <si>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</si>
  <si>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</si>
  <si>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</si>
  <si>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</si>
  <si>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</si>
  <si>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</si>
  <si>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</si>
  <si>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</si>
  <si>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</si>
  <si>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</si>
  <si>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</si>
  <si>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</si>
  <si>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</si>
  <si>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</si>
  <si>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</si>
  <si>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</si>
  <si>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</si>
  <si>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</si>
  <si>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</si>
  <si>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</si>
  <si>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</si>
  <si>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</si>
  <si>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</si>
  <si>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</si>
  <si>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</si>
  <si>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</si>
  <si>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</si>
  <si>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</si>
  <si>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</si>
  <si>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</si>
  <si>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</si>
  <si>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</si>
  <si>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</si>
  <si>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</si>
  <si>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</si>
  <si>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</si>
  <si>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</si>
  <si>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</si>
  <si>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</si>
  <si>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</si>
  <si>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</si>
  <si>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</si>
  <si>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</si>
  <si>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</si>
  <si>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</si>
  <si>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</si>
  <si>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</si>
  <si>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</si>
  <si>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</si>
  <si>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</si>
  <si>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</si>
  <si>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</si>
  <si>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</si>
  <si>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</si>
  <si>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</si>
  <si>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</si>
  <si>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</si>
  <si>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</si>
  <si>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</si>
  <si>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</si>
  <si>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</si>
  <si>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</si>
  <si>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</si>
  <si>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</si>
  <si>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</si>
  <si>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</si>
  <si>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</si>
  <si>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</si>
  <si>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</si>
  <si>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</si>
  <si>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</si>
  <si>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</si>
  <si>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</si>
  <si>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</si>
  <si>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</si>
  <si>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</si>
  <si>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</si>
  <si>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</si>
  <si>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</si>
  <si>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</si>
  <si>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</si>
  <si>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</si>
  <si>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</si>
  <si>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</si>
  <si>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</si>
  <si>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</si>
  <si>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</si>
  <si>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</si>
  <si>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</si>
  <si>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</si>
  <si>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</si>
  <si>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</si>
  <si>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</si>
  <si>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</si>
  <si>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</si>
  <si>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</si>
  <si>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</si>
  <si>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</si>
  <si>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</si>
  <si>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</si>
  <si>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</si>
  <si>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</si>
  <si>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</si>
  <si>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</si>
  <si>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</si>
  <si>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</si>
  <si>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</si>
  <si>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</si>
  <si>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</si>
  <si>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</si>
  <si>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</si>
  <si>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</si>
  <si>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</si>
  <si>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</si>
  <si>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</si>
  <si>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</si>
  <si>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</si>
  <si>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</si>
  <si>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</si>
  <si>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</si>
  <si>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</si>
  <si>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</si>
  <si>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</si>
  <si>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</si>
  <si>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</si>
  <si>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</si>
  <si>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</si>
  <si>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</si>
  <si>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</si>
  <si>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</si>
  <si>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</si>
  <si>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</si>
  <si>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</si>
  <si>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</si>
  <si>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</si>
  <si>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</si>
  <si>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</si>
  <si>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</si>
  <si>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</si>
  <si>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</si>
  <si>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</si>
  <si>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</si>
  <si>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</si>
  <si>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</si>
  <si>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</si>
  <si>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</si>
  <si>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</si>
  <si>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</si>
  <si>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</si>
  <si>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</si>
  <si>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</si>
  <si>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</si>
  <si>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</si>
  <si>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</si>
  <si>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</si>
  <si>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</si>
  <si>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</si>
  <si>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</si>
  <si>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</si>
  <si>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</si>
  <si>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</si>
  <si>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</si>
  <si>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</si>
  <si>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</si>
  <si>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</si>
  <si>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</si>
  <si>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</si>
  <si>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</si>
  <si>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</si>
  <si>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</si>
  <si>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</si>
  <si>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</si>
  <si>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</si>
  <si>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</si>
  <si>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</si>
  <si>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</si>
  <si>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</si>
  <si>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</si>
  <si>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</si>
  <si>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</si>
  <si>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</si>
  <si>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</si>
  <si>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</si>
  <si>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</si>
  <si>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</si>
  <si>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</si>
  <si>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</si>
  <si>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</si>
  <si>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</si>
  <si>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</si>
  <si>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</si>
  <si>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</si>
  <si>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</si>
  <si>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</si>
  <si>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</si>
  <si>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</si>
  <si>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</si>
  <si>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</si>
  <si>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</si>
  <si>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</si>
  <si>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</si>
  <si>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</si>
  <si>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</si>
  <si>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</si>
  <si>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</si>
  <si>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</si>
  <si>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</si>
  <si>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</si>
  <si>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</si>
  <si>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</si>
  <si>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</si>
  <si>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</si>
  <si>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</si>
  <si>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</si>
  <si>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</si>
  <si>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</si>
  <si>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</si>
  <si>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</si>
  <si>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</si>
  <si>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</si>
  <si>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</si>
  <si>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</si>
  <si>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</si>
  <si>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</si>
  <si>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</si>
  <si>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</si>
  <si>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</si>
  <si>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</si>
  <si>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</si>
  <si>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</si>
  <si>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</si>
  <si>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</si>
  <si>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</si>
  <si>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</si>
  <si>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</si>
  <si>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</si>
  <si>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</si>
  <si>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</si>
  <si>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</si>
  <si>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</si>
  <si>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</si>
  <si>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</si>
  <si>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</si>
  <si>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</si>
  <si>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</si>
  <si>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</si>
  <si>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</si>
  <si>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</si>
  <si>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</si>
  <si>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</si>
  <si>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</si>
  <si>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</si>
  <si>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</si>
  <si>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</si>
  <si>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</si>
  <si>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</si>
  <si>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</si>
  <si>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</si>
  <si>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</si>
  <si>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</si>
  <si>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</si>
  <si>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</si>
  <si>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</si>
  <si>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</si>
  <si>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</si>
  <si>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</si>
  <si>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</si>
  <si>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</si>
  <si>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</si>
  <si>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</si>
  <si>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</si>
  <si>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</si>
  <si>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</si>
  <si>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</si>
  <si>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</si>
  <si>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</si>
  <si>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</si>
  <si>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</si>
  <si>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</si>
  <si>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</si>
  <si>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</si>
  <si>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</si>
  <si>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</si>
  <si>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</si>
  <si>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</si>
  <si>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</si>
  <si>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</si>
  <si>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</si>
  <si>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</si>
  <si>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</si>
  <si>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</si>
  <si>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</si>
  <si>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</si>
  <si>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</si>
  <si>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</si>
  <si>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</si>
  <si>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</si>
  <si>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</si>
  <si>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</si>
  <si>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</si>
  <si>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</si>
  <si>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</si>
  <si>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</si>
  <si>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</si>
  <si>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</si>
  <si>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</si>
  <si>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WESTMORELAND</t>
  </si>
  <si>
    <t>08/07</t>
  </si>
  <si>
    <t>08/10</t>
  </si>
  <si>
    <t>08/17</t>
  </si>
  <si>
    <t>08/15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</si>
</sst>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C5" sqref="C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563</v>
      </c>
      <c r="C2" s="21">
        <v>563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274283.25-32271.89</f>
        <v>242011.36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7647.03</v>
      </c>
      <c r="G10" s="18"/>
      <c r="H10" s="18"/>
      <c r="I10" s="18"/>
      <c r="J10" s="67">
        <f>SUM(I440)</f>
        <v>196970.18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1161.74+41276.22</f>
        <v>42437.96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3181.86</v>
      </c>
      <c r="G13" s="18">
        <v>2275.1799999999998</v>
      </c>
      <c r="H13" s="18">
        <v>42914.48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82.05</v>
      </c>
      <c r="G14" s="18">
        <v>1282.3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295360.25999999995</v>
      </c>
      <c r="G19" s="41">
        <f>SUM(G9:G18)</f>
        <v>3557.4799999999996</v>
      </c>
      <c r="H19" s="41">
        <f>SUM(H9:H18)</f>
        <v>42914.48</v>
      </c>
      <c r="I19" s="41">
        <f>SUM(I9:I18)</f>
        <v>0</v>
      </c>
      <c r="J19" s="41">
        <f>SUM(J9:J18)</f>
        <v>196970.18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1161.74</v>
      </c>
      <c r="H22" s="18">
        <v>41276.22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880.55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15738.75</v>
      </c>
      <c r="G24" s="18"/>
      <c r="H24" s="18">
        <v>923.6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7945.77</v>
      </c>
      <c r="G28" s="18">
        <v>1435.06</v>
      </c>
      <c r="H28" s="18">
        <v>714.66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960.68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24565.07</v>
      </c>
      <c r="G32" s="41">
        <f>SUM(G22:G31)</f>
        <v>3557.48</v>
      </c>
      <c r="H32" s="41">
        <f>SUM(H22:H31)</f>
        <v>42914.48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102951.5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41078.5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196970.18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126765.19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270795.19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196970.18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295360.26</v>
      </c>
      <c r="G52" s="41">
        <f>G51+G32</f>
        <v>3557.48</v>
      </c>
      <c r="H52" s="41">
        <f>H51+H32</f>
        <v>42914.48</v>
      </c>
      <c r="I52" s="41">
        <f>I51+I32</f>
        <v>0</v>
      </c>
      <c r="J52" s="41">
        <f>J51+J32</f>
        <v>196970.18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2158848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2158848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600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600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1622.39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1622.39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262.19</v>
      </c>
      <c r="G96" s="18"/>
      <c r="H96" s="18"/>
      <c r="I96" s="18"/>
      <c r="J96" s="18">
        <f>903.28+129.36</f>
        <v>1032.6399999999999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32938.99+2759.36+255</f>
        <v>35953.35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35506.080000000002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3966.47+3802.97</f>
        <v>7769.44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43537.710000000006</v>
      </c>
      <c r="G111" s="41">
        <f>SUM(G96:G110)</f>
        <v>35953.35</v>
      </c>
      <c r="H111" s="41">
        <f>SUM(H96:H110)</f>
        <v>0</v>
      </c>
      <c r="I111" s="41">
        <f>SUM(I96:I110)</f>
        <v>0</v>
      </c>
      <c r="J111" s="41">
        <f>SUM(J96:J110)</f>
        <v>1032.6399999999999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2204608.1</v>
      </c>
      <c r="G112" s="41">
        <f>G60+G111</f>
        <v>35953.35</v>
      </c>
      <c r="H112" s="41">
        <f>H60+H79+H94+H111</f>
        <v>0</v>
      </c>
      <c r="I112" s="41">
        <f>I60+I111</f>
        <v>0</v>
      </c>
      <c r="J112" s="41">
        <f>J60+J111</f>
        <v>1032.6399999999999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663552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434867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1098419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28230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30426.85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991.51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58656.85</v>
      </c>
      <c r="G136" s="41">
        <f>SUM(G123:G135)</f>
        <v>991.51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1157075.8500000001</v>
      </c>
      <c r="G140" s="41">
        <f>G121+SUM(G136:G137)</f>
        <v>991.51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3409.57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26739.21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4216.27+8006.7+1855.43</f>
        <v>14078.400000000001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25399.21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1356.19+37602.75</f>
        <v>38958.94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19142.810000000001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19142.810000000001</v>
      </c>
      <c r="G162" s="41">
        <f>SUM(G150:G161)</f>
        <v>25399.21</v>
      </c>
      <c r="H162" s="41">
        <f>SUM(H150:H161)</f>
        <v>83186.12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19142.810000000001</v>
      </c>
      <c r="G169" s="41">
        <f>G147+G162+SUM(G163:G168)</f>
        <v>25399.21</v>
      </c>
      <c r="H169" s="41">
        <f>H147+H162+SUM(H163:H168)</f>
        <v>83186.12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44278.96</v>
      </c>
      <c r="H179" s="18"/>
      <c r="I179" s="18"/>
      <c r="J179" s="18">
        <f>23876+15000</f>
        <v>38876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44278.96</v>
      </c>
      <c r="H183" s="41">
        <f>SUM(H179:H182)</f>
        <v>0</v>
      </c>
      <c r="I183" s="41">
        <f>SUM(I179:I182)</f>
        <v>0</v>
      </c>
      <c r="J183" s="41">
        <f>SUM(J179:J182)</f>
        <v>38876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44278.96</v>
      </c>
      <c r="H192" s="41">
        <f>+H183+SUM(H188:H191)</f>
        <v>0</v>
      </c>
      <c r="I192" s="41">
        <f>I177+I183+SUM(I188:I191)</f>
        <v>0</v>
      </c>
      <c r="J192" s="41">
        <f>J183</f>
        <v>38876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3380826.7600000002</v>
      </c>
      <c r="G193" s="47">
        <f>G112+G140+G169+G192</f>
        <v>106623.03</v>
      </c>
      <c r="H193" s="47">
        <f>H112+H140+H169+H192</f>
        <v>83186.12</v>
      </c>
      <c r="I193" s="47">
        <f>I112+I140+I169+I192</f>
        <v>0</v>
      </c>
      <c r="J193" s="47">
        <f>J112+J140+J192</f>
        <v>39908.639999999999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626892.12</v>
      </c>
      <c r="G197" s="18">
        <v>272509.68</v>
      </c>
      <c r="H197" s="18">
        <v>1296</v>
      </c>
      <c r="I197" s="18">
        <v>32595.95</v>
      </c>
      <c r="J197" s="18">
        <v>3000</v>
      </c>
      <c r="K197" s="18">
        <v>1333.25</v>
      </c>
      <c r="L197" s="19">
        <f>SUM(F197:K197)</f>
        <v>937627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105458.3</v>
      </c>
      <c r="G198" s="18">
        <f>43271.03</f>
        <v>43271.03</v>
      </c>
      <c r="H198" s="18">
        <v>80140.56</v>
      </c>
      <c r="I198" s="18">
        <v>700.95</v>
      </c>
      <c r="J198" s="18"/>
      <c r="K198" s="18"/>
      <c r="L198" s="19">
        <f>SUM(F198:K198)</f>
        <v>229570.84000000003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12144.98+2050.24</f>
        <v>14195.22</v>
      </c>
      <c r="G200" s="18">
        <f>2370.52+164.63</f>
        <v>2535.15</v>
      </c>
      <c r="H200" s="18">
        <f>3158</f>
        <v>3158</v>
      </c>
      <c r="I200" s="18">
        <v>1243.42</v>
      </c>
      <c r="J200" s="18"/>
      <c r="K200" s="18">
        <v>2405</v>
      </c>
      <c r="L200" s="19">
        <f>SUM(F200:K200)</f>
        <v>23536.79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25221.56+21375.12</f>
        <v>46596.68</v>
      </c>
      <c r="G202" s="18">
        <f>2027.74+1734.35</f>
        <v>3762.09</v>
      </c>
      <c r="H202" s="18">
        <f>3101.16+100+11383.65+47682.65+18050.64</f>
        <v>80318.100000000006</v>
      </c>
      <c r="I202" s="18">
        <f>500+544.81</f>
        <v>1044.81</v>
      </c>
      <c r="J202" s="18"/>
      <c r="K202" s="18"/>
      <c r="L202" s="19">
        <f t="shared" ref="L202:L208" si="0">SUM(F202:K202)</f>
        <v>131721.68000000002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745+41800.08</f>
        <v>42545.08</v>
      </c>
      <c r="G203" s="18">
        <f>166.66+16415.98</f>
        <v>16582.64</v>
      </c>
      <c r="H203" s="18">
        <f>2724.13</f>
        <v>2724.13</v>
      </c>
      <c r="I203" s="18">
        <v>3118.72</v>
      </c>
      <c r="J203" s="18"/>
      <c r="K203" s="18"/>
      <c r="L203" s="19">
        <f t="shared" si="0"/>
        <v>64970.57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490.03+2000</f>
        <v>2490.0299999999997</v>
      </c>
      <c r="G204" s="18">
        <f>86.04+160.4</f>
        <v>246.44</v>
      </c>
      <c r="H204" s="18">
        <f>259.07+100+120+6675+406.5+175274</f>
        <v>182834.57</v>
      </c>
      <c r="I204" s="18">
        <v>690.58</v>
      </c>
      <c r="J204" s="18"/>
      <c r="K204" s="18"/>
      <c r="L204" s="19">
        <f t="shared" si="0"/>
        <v>186261.62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108160.13</v>
      </c>
      <c r="G205" s="18">
        <v>42208.12</v>
      </c>
      <c r="H205" s="18">
        <v>12453.18</v>
      </c>
      <c r="I205" s="18">
        <f>2248.83+347.42</f>
        <v>2596.25</v>
      </c>
      <c r="J205" s="18"/>
      <c r="K205" s="18">
        <v>324</v>
      </c>
      <c r="L205" s="19">
        <f t="shared" si="0"/>
        <v>165741.68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53039.09</v>
      </c>
      <c r="G207" s="18">
        <v>28427.03</v>
      </c>
      <c r="H207" s="18">
        <v>46592.95</v>
      </c>
      <c r="I207" s="18">
        <v>66699.33</v>
      </c>
      <c r="J207" s="18"/>
      <c r="K207" s="18"/>
      <c r="L207" s="19">
        <f t="shared" si="0"/>
        <v>194758.39999999999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140356.68+22625+2140+4642</f>
        <v>169763.68</v>
      </c>
      <c r="I208" s="18"/>
      <c r="J208" s="18"/>
      <c r="K208" s="18"/>
      <c r="L208" s="19">
        <f t="shared" si="0"/>
        <v>169763.68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15.85</v>
      </c>
      <c r="H209" s="18">
        <v>626.5</v>
      </c>
      <c r="I209" s="18"/>
      <c r="J209" s="18"/>
      <c r="K209" s="18"/>
      <c r="L209" s="19">
        <f>SUM(F209:K209)</f>
        <v>642.35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999376.65</v>
      </c>
      <c r="G211" s="41">
        <f t="shared" si="1"/>
        <v>409558.03</v>
      </c>
      <c r="H211" s="41">
        <f t="shared" si="1"/>
        <v>579907.66999999993</v>
      </c>
      <c r="I211" s="41">
        <f t="shared" si="1"/>
        <v>108690.01000000001</v>
      </c>
      <c r="J211" s="41">
        <f t="shared" si="1"/>
        <v>3000</v>
      </c>
      <c r="K211" s="41">
        <f t="shared" si="1"/>
        <v>4062.25</v>
      </c>
      <c r="L211" s="41">
        <f t="shared" si="1"/>
        <v>2104594.61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651141.68000000005</v>
      </c>
      <c r="I233" s="18"/>
      <c r="J233" s="18"/>
      <c r="K233" s="18"/>
      <c r="L233" s="19">
        <f>SUM(F233:K233)</f>
        <v>651141.68000000005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179070</v>
      </c>
      <c r="I234" s="18"/>
      <c r="J234" s="18"/>
      <c r="K234" s="18"/>
      <c r="L234" s="19">
        <f>SUM(F234:K234)</f>
        <v>179070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49039.199999999997</v>
      </c>
      <c r="I244" s="18"/>
      <c r="J244" s="18"/>
      <c r="K244" s="18"/>
      <c r="L244" s="19">
        <f t="shared" si="4"/>
        <v>49039.199999999997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879250.88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879250.88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999376.65</v>
      </c>
      <c r="G257" s="41">
        <f t="shared" si="8"/>
        <v>409558.03</v>
      </c>
      <c r="H257" s="41">
        <f t="shared" si="8"/>
        <v>1459158.5499999998</v>
      </c>
      <c r="I257" s="41">
        <f t="shared" si="8"/>
        <v>108690.01000000001</v>
      </c>
      <c r="J257" s="41">
        <f t="shared" si="8"/>
        <v>3000</v>
      </c>
      <c r="K257" s="41">
        <f t="shared" si="8"/>
        <v>4062.25</v>
      </c>
      <c r="L257" s="41">
        <f t="shared" si="8"/>
        <v>2983845.4899999998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85000</v>
      </c>
      <c r="L260" s="19">
        <f>SUM(F260:K260)</f>
        <v>85000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12268.75</v>
      </c>
      <c r="L261" s="19">
        <f>SUM(F261:K261)</f>
        <v>12268.75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44278.96</v>
      </c>
      <c r="L263" s="19">
        <f>SUM(F263:K263)</f>
        <v>44278.96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15000+23876</f>
        <v>38876</v>
      </c>
      <c r="L266" s="19">
        <f t="shared" si="9"/>
        <v>38876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180423.71</v>
      </c>
      <c r="L270" s="41">
        <f t="shared" si="9"/>
        <v>180423.71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999376.65</v>
      </c>
      <c r="G271" s="42">
        <f t="shared" si="11"/>
        <v>409558.03</v>
      </c>
      <c r="H271" s="42">
        <f t="shared" si="11"/>
        <v>1459158.5499999998</v>
      </c>
      <c r="I271" s="42">
        <f t="shared" si="11"/>
        <v>108690.01000000001</v>
      </c>
      <c r="J271" s="42">
        <f t="shared" si="11"/>
        <v>3000</v>
      </c>
      <c r="K271" s="42">
        <f t="shared" si="11"/>
        <v>184485.96</v>
      </c>
      <c r="L271" s="42">
        <f t="shared" si="11"/>
        <v>3164269.1999999997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22166.82</v>
      </c>
      <c r="G276" s="18">
        <f>1695.77+86.45</f>
        <v>1782.22</v>
      </c>
      <c r="H276" s="18"/>
      <c r="I276" s="18">
        <f>100+200+99.95</f>
        <v>399.95</v>
      </c>
      <c r="J276" s="18">
        <f>3409.57+1855.43</f>
        <v>5265</v>
      </c>
      <c r="K276" s="18"/>
      <c r="L276" s="19">
        <f>SUM(F276:K276)</f>
        <v>29613.99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1255.28+16994.64</f>
        <v>18249.919999999998</v>
      </c>
      <c r="G277" s="18">
        <f>96.02+1300.15+4.89+66.3</f>
        <v>1467.3600000000001</v>
      </c>
      <c r="H277" s="18"/>
      <c r="I277" s="18"/>
      <c r="J277" s="18"/>
      <c r="K277" s="18"/>
      <c r="L277" s="19">
        <f>SUM(F277:K277)</f>
        <v>19717.28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v>132.94999999999999</v>
      </c>
      <c r="J281" s="18"/>
      <c r="K281" s="18"/>
      <c r="L281" s="19">
        <f t="shared" ref="L281:L287" si="12">SUM(F281:K281)</f>
        <v>132.94999999999999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1875+1060+830</f>
        <v>3765</v>
      </c>
      <c r="G282" s="18">
        <f>143.44+81.09+211.88+150.09+7.13+4.13+63.49+117.53+3.23</f>
        <v>782.01</v>
      </c>
      <c r="H282" s="18">
        <f>877.5+3400+902.74+1097.1+17900</f>
        <v>24177.34</v>
      </c>
      <c r="I282" s="18">
        <v>995</v>
      </c>
      <c r="J282" s="18"/>
      <c r="K282" s="18"/>
      <c r="L282" s="19">
        <f t="shared" si="12"/>
        <v>29719.35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1644</v>
      </c>
      <c r="I283" s="18"/>
      <c r="J283" s="18"/>
      <c r="K283" s="18"/>
      <c r="L283" s="19">
        <f t="shared" si="12"/>
        <v>1644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2358.5500000000002</v>
      </c>
      <c r="L285" s="19">
        <f t="shared" si="12"/>
        <v>2358.5500000000002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44181.74</v>
      </c>
      <c r="G290" s="42">
        <f t="shared" si="13"/>
        <v>4031.59</v>
      </c>
      <c r="H290" s="42">
        <f t="shared" si="13"/>
        <v>25821.34</v>
      </c>
      <c r="I290" s="42">
        <f t="shared" si="13"/>
        <v>1527.9</v>
      </c>
      <c r="J290" s="42">
        <f t="shared" si="13"/>
        <v>5265</v>
      </c>
      <c r="K290" s="42">
        <f t="shared" si="13"/>
        <v>2358.5500000000002</v>
      </c>
      <c r="L290" s="41">
        <f t="shared" si="13"/>
        <v>83186.12000000001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44181.74</v>
      </c>
      <c r="G338" s="41">
        <f t="shared" si="20"/>
        <v>4031.59</v>
      </c>
      <c r="H338" s="41">
        <f t="shared" si="20"/>
        <v>25821.34</v>
      </c>
      <c r="I338" s="41">
        <f t="shared" si="20"/>
        <v>1527.9</v>
      </c>
      <c r="J338" s="41">
        <f t="shared" si="20"/>
        <v>5265</v>
      </c>
      <c r="K338" s="41">
        <f t="shared" si="20"/>
        <v>2358.5500000000002</v>
      </c>
      <c r="L338" s="41">
        <f t="shared" si="20"/>
        <v>83186.12000000001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44181.74</v>
      </c>
      <c r="G352" s="41">
        <f>G338</f>
        <v>4031.59</v>
      </c>
      <c r="H352" s="41">
        <f>H338</f>
        <v>25821.34</v>
      </c>
      <c r="I352" s="41">
        <f>I338</f>
        <v>1527.9</v>
      </c>
      <c r="J352" s="41">
        <f>J338</f>
        <v>5265</v>
      </c>
      <c r="K352" s="47">
        <f>K338+K351</f>
        <v>2358.5500000000002</v>
      </c>
      <c r="L352" s="41">
        <f>L338+L351</f>
        <v>83186.12000000001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33245.19</v>
      </c>
      <c r="G358" s="18">
        <f>13782.79+503.12+57+90.43+2321.8+2686.89+596.07</f>
        <v>20038.100000000002</v>
      </c>
      <c r="H358" s="18">
        <v>624.86</v>
      </c>
      <c r="I358" s="18">
        <f>6240.87+45227.63</f>
        <v>51468.5</v>
      </c>
      <c r="J358" s="18">
        <v>1246.3800000000001</v>
      </c>
      <c r="K358" s="18"/>
      <c r="L358" s="13">
        <f>SUM(F358:K358)</f>
        <v>106623.03000000001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33245.19</v>
      </c>
      <c r="G362" s="47">
        <f t="shared" si="22"/>
        <v>20038.100000000002</v>
      </c>
      <c r="H362" s="47">
        <f t="shared" si="22"/>
        <v>624.86</v>
      </c>
      <c r="I362" s="47">
        <f t="shared" si="22"/>
        <v>51468.5</v>
      </c>
      <c r="J362" s="47">
        <f t="shared" si="22"/>
        <v>1246.3800000000001</v>
      </c>
      <c r="K362" s="47">
        <f t="shared" si="22"/>
        <v>0</v>
      </c>
      <c r="L362" s="47">
        <f t="shared" si="22"/>
        <v>106623.03000000001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45227.63</v>
      </c>
      <c r="G367" s="18"/>
      <c r="H367" s="18"/>
      <c r="I367" s="56">
        <f>SUM(F367:H367)</f>
        <v>45227.63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6240.87</v>
      </c>
      <c r="G368" s="63"/>
      <c r="H368" s="63"/>
      <c r="I368" s="56">
        <f>SUM(F368:H368)</f>
        <v>6240.87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51468.5</v>
      </c>
      <c r="G369" s="47">
        <f>SUM(G367:G368)</f>
        <v>0</v>
      </c>
      <c r="H369" s="47">
        <f>SUM(H367:H368)</f>
        <v>0</v>
      </c>
      <c r="I369" s="47">
        <f>SUM(I367:I368)</f>
        <v>51468.5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15000</v>
      </c>
      <c r="H389" s="18">
        <v>129.36000000000001</v>
      </c>
      <c r="I389" s="18"/>
      <c r="J389" s="24" t="s">
        <v>289</v>
      </c>
      <c r="K389" s="24" t="s">
        <v>289</v>
      </c>
      <c r="L389" s="56">
        <f t="shared" si="25"/>
        <v>15129.36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15000</v>
      </c>
      <c r="H393" s="139">
        <f>SUM(H387:H392)</f>
        <v>129.36000000000001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15129.36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23876</v>
      </c>
      <c r="H398" s="18">
        <v>903.28</v>
      </c>
      <c r="I398" s="18"/>
      <c r="J398" s="24" t="s">
        <v>289</v>
      </c>
      <c r="K398" s="24" t="s">
        <v>289</v>
      </c>
      <c r="L398" s="56">
        <f t="shared" si="26"/>
        <v>24779.279999999999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23876</v>
      </c>
      <c r="H401" s="47">
        <f>SUM(H395:H400)</f>
        <v>903.28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24779.279999999999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38876</v>
      </c>
      <c r="H408" s="47">
        <f>H393+H401+H407</f>
        <v>1032.6399999999999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39908.639999999999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35337.03</v>
      </c>
      <c r="G440" s="18">
        <v>161633.15</v>
      </c>
      <c r="H440" s="18"/>
      <c r="I440" s="56">
        <f t="shared" si="33"/>
        <v>196970.18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35337.03</v>
      </c>
      <c r="G446" s="13">
        <f>SUM(G439:G445)</f>
        <v>161633.15</v>
      </c>
      <c r="H446" s="13">
        <f>SUM(H439:H445)</f>
        <v>0</v>
      </c>
      <c r="I446" s="13">
        <f>SUM(I439:I445)</f>
        <v>196970.18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35337.03</v>
      </c>
      <c r="G459" s="18">
        <v>161633.15</v>
      </c>
      <c r="H459" s="18"/>
      <c r="I459" s="56">
        <f t="shared" si="34"/>
        <v>196970.18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35337.03</v>
      </c>
      <c r="G460" s="83">
        <f>SUM(G454:G459)</f>
        <v>161633.15</v>
      </c>
      <c r="H460" s="83">
        <f>SUM(H454:H459)</f>
        <v>0</v>
      </c>
      <c r="I460" s="83">
        <f>SUM(I454:I459)</f>
        <v>196970.18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35337.03</v>
      </c>
      <c r="G461" s="42">
        <f>G452+G460</f>
        <v>161633.15</v>
      </c>
      <c r="H461" s="42">
        <f>H452+H460</f>
        <v>0</v>
      </c>
      <c r="I461" s="42">
        <f>I452+I460</f>
        <v>196970.18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54237.63</v>
      </c>
      <c r="G465" s="18">
        <v>0</v>
      </c>
      <c r="H465" s="18">
        <v>0</v>
      </c>
      <c r="I465" s="18">
        <v>0</v>
      </c>
      <c r="J465" s="18">
        <v>157061.54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3380826.76</v>
      </c>
      <c r="G468" s="18">
        <v>106623.03</v>
      </c>
      <c r="H468" s="18">
        <v>83186.12</v>
      </c>
      <c r="I468" s="18"/>
      <c r="J468" s="18">
        <f>23876+903.28+15000+129.36</f>
        <v>39908.639999999999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3380826.76</v>
      </c>
      <c r="G470" s="53">
        <f>SUM(G468:G469)</f>
        <v>106623.03</v>
      </c>
      <c r="H470" s="53">
        <f>SUM(H468:H469)</f>
        <v>83186.12</v>
      </c>
      <c r="I470" s="53">
        <f>SUM(I468:I469)</f>
        <v>0</v>
      </c>
      <c r="J470" s="53">
        <f>SUM(J468:J469)</f>
        <v>39908.639999999999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3164269.2</v>
      </c>
      <c r="G472" s="18">
        <v>106623.03</v>
      </c>
      <c r="H472" s="18">
        <v>83186.12</v>
      </c>
      <c r="I472" s="18">
        <v>0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3164269.2</v>
      </c>
      <c r="G474" s="53">
        <f>SUM(G472:G473)</f>
        <v>106623.03</v>
      </c>
      <c r="H474" s="53">
        <f>SUM(H472:H473)</f>
        <v>83186.12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270795.18999999948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196970.18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5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913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 t="s">
        <v>915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440000</v>
      </c>
      <c r="G493" s="18">
        <v>215000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4.28</v>
      </c>
      <c r="G494" s="18">
        <v>1.99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210000</v>
      </c>
      <c r="G495" s="18">
        <v>120000</v>
      </c>
      <c r="H495" s="18"/>
      <c r="I495" s="18"/>
      <c r="J495" s="18"/>
      <c r="K495" s="53">
        <f>SUM(F495:J495)</f>
        <v>330000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45000</v>
      </c>
      <c r="G497" s="18">
        <v>40000</v>
      </c>
      <c r="H497" s="18"/>
      <c r="I497" s="18"/>
      <c r="J497" s="18"/>
      <c r="K497" s="53">
        <f t="shared" si="35"/>
        <v>85000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165000</v>
      </c>
      <c r="G498" s="204">
        <v>80000</v>
      </c>
      <c r="H498" s="204"/>
      <c r="I498" s="204"/>
      <c r="J498" s="204"/>
      <c r="K498" s="205">
        <f t="shared" si="35"/>
        <v>245000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15956.25</v>
      </c>
      <c r="G499" s="18">
        <v>2600</v>
      </c>
      <c r="H499" s="18"/>
      <c r="I499" s="18"/>
      <c r="J499" s="18"/>
      <c r="K499" s="53">
        <f t="shared" si="35"/>
        <v>18556.25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180956.25</v>
      </c>
      <c r="G500" s="42">
        <f>SUM(G498:G499)</f>
        <v>82600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263556.25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45000</v>
      </c>
      <c r="G501" s="204">
        <v>40000</v>
      </c>
      <c r="H501" s="204"/>
      <c r="I501" s="204"/>
      <c r="J501" s="204"/>
      <c r="K501" s="205">
        <f t="shared" si="35"/>
        <v>85000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6956.25</v>
      </c>
      <c r="G502" s="18">
        <v>2000</v>
      </c>
      <c r="H502" s="18"/>
      <c r="I502" s="18"/>
      <c r="J502" s="18"/>
      <c r="K502" s="53">
        <f t="shared" si="35"/>
        <v>8956.25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51956.25</v>
      </c>
      <c r="G503" s="42">
        <f>SUM(G501:G502)</f>
        <v>42000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93956.25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43589.02+23949.21+37920.07+1255.28+16994.64</f>
        <v>123708.21999999999</v>
      </c>
      <c r="G521" s="18">
        <f>27566.16+1090.79+142.5+244.62+7643.46+6172.22+411.28+96.02+1300.15+4.89+66.3</f>
        <v>44738.39</v>
      </c>
      <c r="H521" s="18">
        <f>1806+74374.56+3960</f>
        <v>80140.56</v>
      </c>
      <c r="I521" s="18">
        <f>397.97+302.98</f>
        <v>700.95</v>
      </c>
      <c r="J521" s="18"/>
      <c r="K521" s="18"/>
      <c r="L521" s="88">
        <f>SUM(F521:K521)</f>
        <v>249288.12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179070</v>
      </c>
      <c r="I523" s="18"/>
      <c r="J523" s="18"/>
      <c r="K523" s="18"/>
      <c r="L523" s="88">
        <f>SUM(F523:K523)</f>
        <v>179070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123708.21999999999</v>
      </c>
      <c r="G524" s="108">
        <f t="shared" ref="G524:L524" si="36">SUM(G521:G523)</f>
        <v>44738.39</v>
      </c>
      <c r="H524" s="108">
        <f t="shared" si="36"/>
        <v>259210.56</v>
      </c>
      <c r="I524" s="108">
        <f t="shared" si="36"/>
        <v>700.95</v>
      </c>
      <c r="J524" s="108">
        <f t="shared" si="36"/>
        <v>0</v>
      </c>
      <c r="K524" s="108">
        <f t="shared" si="36"/>
        <v>0</v>
      </c>
      <c r="L524" s="89">
        <f t="shared" si="36"/>
        <v>428358.12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f>1051.16+11383.65+47682.65+18050.64+17900</f>
        <v>96068.1</v>
      </c>
      <c r="I526" s="18"/>
      <c r="J526" s="18"/>
      <c r="K526" s="18"/>
      <c r="L526" s="88">
        <f>SUM(F526:K526)</f>
        <v>96068.1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96068.1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96068.1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19711</v>
      </c>
      <c r="I531" s="18"/>
      <c r="J531" s="18"/>
      <c r="K531" s="18">
        <v>1341.66</v>
      </c>
      <c r="L531" s="88">
        <f>SUM(F531:K531)</f>
        <v>21052.66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19711</v>
      </c>
      <c r="I534" s="89">
        <f t="shared" si="38"/>
        <v>0</v>
      </c>
      <c r="J534" s="89">
        <f t="shared" si="38"/>
        <v>0</v>
      </c>
      <c r="K534" s="89">
        <f t="shared" si="38"/>
        <v>1341.66</v>
      </c>
      <c r="L534" s="89">
        <f t="shared" si="38"/>
        <v>21052.66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22625</v>
      </c>
      <c r="I541" s="18"/>
      <c r="J541" s="18"/>
      <c r="K541" s="18"/>
      <c r="L541" s="88">
        <f>SUM(F541:K541)</f>
        <v>22625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22625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22625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123708.21999999999</v>
      </c>
      <c r="G545" s="89">
        <f t="shared" ref="G545:L545" si="41">G524+G529+G534+G539+G544</f>
        <v>44738.39</v>
      </c>
      <c r="H545" s="89">
        <f t="shared" si="41"/>
        <v>397614.66000000003</v>
      </c>
      <c r="I545" s="89">
        <f t="shared" si="41"/>
        <v>700.95</v>
      </c>
      <c r="J545" s="89">
        <f t="shared" si="41"/>
        <v>0</v>
      </c>
      <c r="K545" s="89">
        <f t="shared" si="41"/>
        <v>1341.66</v>
      </c>
      <c r="L545" s="89">
        <f t="shared" si="41"/>
        <v>568103.88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249288.12</v>
      </c>
      <c r="G549" s="87">
        <f>L526</f>
        <v>96068.1</v>
      </c>
      <c r="H549" s="87">
        <f>L531</f>
        <v>21052.66</v>
      </c>
      <c r="I549" s="87">
        <f>L536</f>
        <v>0</v>
      </c>
      <c r="J549" s="87">
        <f>L541</f>
        <v>22625</v>
      </c>
      <c r="K549" s="87">
        <f>SUM(F549:J549)</f>
        <v>389033.87999999995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179070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179070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428358.12</v>
      </c>
      <c r="G552" s="89">
        <f t="shared" si="42"/>
        <v>96068.1</v>
      </c>
      <c r="H552" s="89">
        <f t="shared" si="42"/>
        <v>21052.66</v>
      </c>
      <c r="I552" s="89">
        <f t="shared" si="42"/>
        <v>0</v>
      </c>
      <c r="J552" s="89">
        <f t="shared" si="42"/>
        <v>22625</v>
      </c>
      <c r="K552" s="89">
        <f t="shared" si="42"/>
        <v>568103.87999999989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651141.68000000005</v>
      </c>
      <c r="I575" s="87">
        <f>SUM(F575:H575)</f>
        <v>651141.68000000005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3960</v>
      </c>
      <c r="G579" s="18"/>
      <c r="H579" s="18">
        <v>179070</v>
      </c>
      <c r="I579" s="87">
        <f t="shared" si="47"/>
        <v>183030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74374.559999999998</v>
      </c>
      <c r="G582" s="18"/>
      <c r="H582" s="18"/>
      <c r="I582" s="87">
        <f t="shared" si="47"/>
        <v>74374.559999999998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140356.68</v>
      </c>
      <c r="I591" s="18"/>
      <c r="J591" s="18">
        <v>49039.199999999997</v>
      </c>
      <c r="K591" s="104">
        <f t="shared" ref="K591:K597" si="48">SUM(H591:J591)</f>
        <v>189395.88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22625</v>
      </c>
      <c r="I592" s="18"/>
      <c r="J592" s="18"/>
      <c r="K592" s="104">
        <f t="shared" si="48"/>
        <v>22625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2140</v>
      </c>
      <c r="I594" s="18"/>
      <c r="J594" s="18"/>
      <c r="K594" s="104">
        <f t="shared" si="48"/>
        <v>2140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4642</v>
      </c>
      <c r="I595" s="18"/>
      <c r="J595" s="18"/>
      <c r="K595" s="104">
        <f t="shared" si="48"/>
        <v>4642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169763.68</v>
      </c>
      <c r="I598" s="108">
        <f>SUM(I591:I597)</f>
        <v>0</v>
      </c>
      <c r="J598" s="108">
        <f>SUM(J591:J597)</f>
        <v>49039.199999999997</v>
      </c>
      <c r="K598" s="108">
        <f>SUM(K591:K597)</f>
        <v>218802.88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8265</v>
      </c>
      <c r="I604" s="18"/>
      <c r="J604" s="18"/>
      <c r="K604" s="104">
        <f>SUM(H604:J604)</f>
        <v>8265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8265</v>
      </c>
      <c r="I605" s="108">
        <f>SUM(I602:I604)</f>
        <v>0</v>
      </c>
      <c r="J605" s="108">
        <f>SUM(J602:J604)</f>
        <v>0</v>
      </c>
      <c r="K605" s="108">
        <f>SUM(K602:K604)</f>
        <v>8265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295360.25999999995</v>
      </c>
      <c r="H617" s="109">
        <f>SUM(F52)</f>
        <v>295360.26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3557.4799999999996</v>
      </c>
      <c r="H618" s="109">
        <f>SUM(G52)</f>
        <v>3557.48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42914.48</v>
      </c>
      <c r="H619" s="109">
        <f>SUM(H52)</f>
        <v>42914.48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196970.18</v>
      </c>
      <c r="H621" s="109">
        <f>SUM(J52)</f>
        <v>196970.18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270795.19</v>
      </c>
      <c r="H622" s="109">
        <f>F476</f>
        <v>270795.18999999948</v>
      </c>
      <c r="I622" s="121" t="s">
        <v>101</v>
      </c>
      <c r="J622" s="109">
        <f t="shared" ref="J622:J655" si="50">G622-H622</f>
        <v>5.2386894822120667E-10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196970.18</v>
      </c>
      <c r="H626" s="109">
        <f>J476</f>
        <v>196970.18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3380826.7600000002</v>
      </c>
      <c r="H627" s="104">
        <f>SUM(F468)</f>
        <v>3380826.76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106623.03</v>
      </c>
      <c r="H628" s="104">
        <f>SUM(G468)</f>
        <v>106623.03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83186.12</v>
      </c>
      <c r="H629" s="104">
        <f>SUM(H468)</f>
        <v>83186.12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39908.639999999999</v>
      </c>
      <c r="H631" s="104">
        <f>SUM(J468)</f>
        <v>39908.639999999999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3164269.1999999997</v>
      </c>
      <c r="H632" s="104">
        <f>SUM(F472)</f>
        <v>3164269.2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83186.12000000001</v>
      </c>
      <c r="H633" s="104">
        <f>SUM(H472)</f>
        <v>83186.12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51468.5</v>
      </c>
      <c r="H634" s="104">
        <f>I369</f>
        <v>51468.5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106623.03000000001</v>
      </c>
      <c r="H635" s="104">
        <f>SUM(G472)</f>
        <v>106623.03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39908.639999999999</v>
      </c>
      <c r="H637" s="164">
        <f>SUM(J468)</f>
        <v>39908.639999999999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35337.03</v>
      </c>
      <c r="H639" s="104">
        <f>SUM(F461)</f>
        <v>35337.03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161633.15</v>
      </c>
      <c r="H640" s="104">
        <f>SUM(G461)</f>
        <v>161633.15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196970.18</v>
      </c>
      <c r="H642" s="104">
        <f>SUM(I461)</f>
        <v>196970.18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1032.6399999999999</v>
      </c>
      <c r="H644" s="104">
        <f>H408</f>
        <v>1032.6399999999999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38876</v>
      </c>
      <c r="H645" s="104">
        <f>G408</f>
        <v>38876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39908.639999999999</v>
      </c>
      <c r="H646" s="104">
        <f>L408</f>
        <v>39908.639999999999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218802.88</v>
      </c>
      <c r="H647" s="104">
        <f>L208+L226+L244</f>
        <v>218802.88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8265</v>
      </c>
      <c r="H648" s="104">
        <f>(J257+J338)-(J255+J336)</f>
        <v>8265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169763.68</v>
      </c>
      <c r="H649" s="104">
        <f>H598</f>
        <v>169763.68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49039.199999999997</v>
      </c>
      <c r="H651" s="104">
        <f>J598</f>
        <v>49039.199999999997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44278.96</v>
      </c>
      <c r="H652" s="104">
        <f>K263+K345</f>
        <v>44278.96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38876</v>
      </c>
      <c r="H655" s="104">
        <f>K266+K347</f>
        <v>38876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2294403.7599999998</v>
      </c>
      <c r="G660" s="19">
        <f>(L229+L309+L359)</f>
        <v>0</v>
      </c>
      <c r="H660" s="19">
        <f>(L247+L328+L360)</f>
        <v>879250.88</v>
      </c>
      <c r="I660" s="19">
        <f>SUM(F660:H660)</f>
        <v>3173654.6399999997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35953.35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35953.35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169763.68</v>
      </c>
      <c r="G662" s="19">
        <f>(L226+L306)-(J226+J306)</f>
        <v>0</v>
      </c>
      <c r="H662" s="19">
        <f>(L244+L325)-(J244+J325)</f>
        <v>49039.199999999997</v>
      </c>
      <c r="I662" s="19">
        <f>SUM(F662:H662)</f>
        <v>218802.88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86599.56</v>
      </c>
      <c r="G663" s="199">
        <f>SUM(G575:G587)+SUM(I602:I604)+L612</f>
        <v>0</v>
      </c>
      <c r="H663" s="199">
        <f>SUM(H575:H587)+SUM(J602:J604)+L613</f>
        <v>830211.68</v>
      </c>
      <c r="I663" s="19">
        <f>SUM(F663:H663)</f>
        <v>916811.24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2002087.17</v>
      </c>
      <c r="G664" s="19">
        <f>G660-SUM(G661:G663)</f>
        <v>0</v>
      </c>
      <c r="H664" s="19">
        <f>H660-SUM(H661:H663)</f>
        <v>0</v>
      </c>
      <c r="I664" s="19">
        <f>I660-SUM(I661:I663)</f>
        <v>2002087.1699999997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155.35</v>
      </c>
      <c r="G665" s="248"/>
      <c r="H665" s="248"/>
      <c r="I665" s="19">
        <f>SUM(F665:H665)</f>
        <v>155.35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12887.59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12887.59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12887.59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12887.59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WESTMORELAND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649058.93999999994</v>
      </c>
      <c r="C9" s="229">
        <f>'DOE25'!G197+'DOE25'!G215+'DOE25'!G233+'DOE25'!G276+'DOE25'!G295+'DOE25'!G314</f>
        <v>274291.89999999997</v>
      </c>
    </row>
    <row r="10" spans="1:3" x14ac:dyDescent="0.2">
      <c r="A10" t="s">
        <v>779</v>
      </c>
      <c r="B10" s="240">
        <v>605647.53</v>
      </c>
      <c r="C10" s="240">
        <v>255946.27</v>
      </c>
    </row>
    <row r="11" spans="1:3" x14ac:dyDescent="0.2">
      <c r="A11" t="s">
        <v>780</v>
      </c>
      <c r="B11" s="240">
        <v>43411.41</v>
      </c>
      <c r="C11" s="240">
        <v>18345.63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649058.94000000006</v>
      </c>
      <c r="C13" s="231">
        <f>SUM(C10:C12)</f>
        <v>274291.89999999997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123708.22</v>
      </c>
      <c r="C18" s="229">
        <f>'DOE25'!G198+'DOE25'!G216+'DOE25'!G234+'DOE25'!G277+'DOE25'!G296+'DOE25'!G315</f>
        <v>44738.39</v>
      </c>
    </row>
    <row r="19" spans="1:3" x14ac:dyDescent="0.2">
      <c r="A19" t="s">
        <v>779</v>
      </c>
      <c r="B19" s="240">
        <v>61838.94</v>
      </c>
      <c r="C19" s="240">
        <v>22363.71</v>
      </c>
    </row>
    <row r="20" spans="1:3" x14ac:dyDescent="0.2">
      <c r="A20" t="s">
        <v>780</v>
      </c>
      <c r="B20" s="240">
        <v>61869.279999999999</v>
      </c>
      <c r="C20" s="240">
        <v>22374.68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123708.22</v>
      </c>
      <c r="C22" s="231">
        <f>SUM(C19:C21)</f>
        <v>44738.39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14195.22</v>
      </c>
      <c r="C36" s="235">
        <f>'DOE25'!G200+'DOE25'!G218+'DOE25'!G236+'DOE25'!G279+'DOE25'!G298+'DOE25'!G317</f>
        <v>2535.15</v>
      </c>
    </row>
    <row r="37" spans="1:3" x14ac:dyDescent="0.2">
      <c r="A37" t="s">
        <v>779</v>
      </c>
      <c r="B37" s="240">
        <v>13395.22</v>
      </c>
      <c r="C37" s="240">
        <v>2392.2800000000002</v>
      </c>
    </row>
    <row r="38" spans="1:3" x14ac:dyDescent="0.2">
      <c r="A38" t="s">
        <v>780</v>
      </c>
      <c r="B38" s="240">
        <v>800</v>
      </c>
      <c r="C38" s="240">
        <v>142.87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14195.22</v>
      </c>
      <c r="C40" s="231">
        <f>SUM(C37:C39)</f>
        <v>2535.15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WESTMORELAND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2020946.31</v>
      </c>
      <c r="D5" s="20">
        <f>SUM('DOE25'!L197:L200)+SUM('DOE25'!L215:L218)+SUM('DOE25'!L233:L236)-F5-G5</f>
        <v>2014208.06</v>
      </c>
      <c r="E5" s="243"/>
      <c r="F5" s="255">
        <f>SUM('DOE25'!J197:J200)+SUM('DOE25'!J215:J218)+SUM('DOE25'!J233:J236)</f>
        <v>3000</v>
      </c>
      <c r="G5" s="53">
        <f>SUM('DOE25'!K197:K200)+SUM('DOE25'!K215:K218)+SUM('DOE25'!K233:K236)</f>
        <v>3738.25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131721.68000000002</v>
      </c>
      <c r="D6" s="20">
        <f>'DOE25'!L202+'DOE25'!L220+'DOE25'!L238-F6-G6</f>
        <v>131721.68000000002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64970.57</v>
      </c>
      <c r="D7" s="20">
        <f>'DOE25'!L203+'DOE25'!L221+'DOE25'!L239-F7-G7</f>
        <v>64970.57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152984.9</v>
      </c>
      <c r="D8" s="243"/>
      <c r="E8" s="20">
        <f>'DOE25'!L204+'DOE25'!L222+'DOE25'!L240-F8-G8-D9-D11</f>
        <v>152984.9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1525.72</v>
      </c>
      <c r="D9" s="244">
        <v>1525.72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6675</v>
      </c>
      <c r="D10" s="243"/>
      <c r="E10" s="244">
        <v>6675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31751</v>
      </c>
      <c r="D11" s="244">
        <v>31751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165741.68</v>
      </c>
      <c r="D12" s="20">
        <f>'DOE25'!L205+'DOE25'!L223+'DOE25'!L241-F12-G12</f>
        <v>165417.68</v>
      </c>
      <c r="E12" s="243"/>
      <c r="F12" s="255">
        <f>'DOE25'!J205+'DOE25'!J223+'DOE25'!J241</f>
        <v>0</v>
      </c>
      <c r="G12" s="53">
        <f>'DOE25'!K205+'DOE25'!K223+'DOE25'!K241</f>
        <v>324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194758.39999999999</v>
      </c>
      <c r="D14" s="20">
        <f>'DOE25'!L207+'DOE25'!L225+'DOE25'!L243-F14-G14</f>
        <v>194758.39999999999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218802.88</v>
      </c>
      <c r="D15" s="20">
        <f>'DOE25'!L208+'DOE25'!L226+'DOE25'!L244-F15-G15</f>
        <v>218802.88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642.35</v>
      </c>
      <c r="D16" s="243"/>
      <c r="E16" s="20">
        <f>'DOE25'!L209+'DOE25'!L227+'DOE25'!L245-F16-G16</f>
        <v>642.35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97268.75</v>
      </c>
      <c r="D25" s="243"/>
      <c r="E25" s="243"/>
      <c r="F25" s="258"/>
      <c r="G25" s="256"/>
      <c r="H25" s="257">
        <f>'DOE25'!L260+'DOE25'!L261+'DOE25'!L341+'DOE25'!L342</f>
        <v>97268.75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61395.400000000016</v>
      </c>
      <c r="D29" s="20">
        <f>'DOE25'!L358+'DOE25'!L359+'DOE25'!L360-'DOE25'!I367-F29-G29</f>
        <v>60149.020000000019</v>
      </c>
      <c r="E29" s="243"/>
      <c r="F29" s="255">
        <f>'DOE25'!J358+'DOE25'!J359+'DOE25'!J360</f>
        <v>1246.3800000000001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83186.12000000001</v>
      </c>
      <c r="D31" s="20">
        <f>'DOE25'!L290+'DOE25'!L309+'DOE25'!L328+'DOE25'!L333+'DOE25'!L334+'DOE25'!L335-F31-G31</f>
        <v>75562.570000000007</v>
      </c>
      <c r="E31" s="243"/>
      <c r="F31" s="255">
        <f>'DOE25'!J290+'DOE25'!J309+'DOE25'!J328+'DOE25'!J333+'DOE25'!J334+'DOE25'!J335</f>
        <v>5265</v>
      </c>
      <c r="G31" s="53">
        <f>'DOE25'!K290+'DOE25'!K309+'DOE25'!K328+'DOE25'!K333+'DOE25'!K334+'DOE25'!K335</f>
        <v>2358.5500000000002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2958867.58</v>
      </c>
      <c r="E33" s="246">
        <f>SUM(E5:E31)</f>
        <v>160302.25</v>
      </c>
      <c r="F33" s="246">
        <f>SUM(F5:F31)</f>
        <v>9511.380000000001</v>
      </c>
      <c r="G33" s="246">
        <f>SUM(G5:G31)</f>
        <v>6420.8</v>
      </c>
      <c r="H33" s="246">
        <f>SUM(H5:H31)</f>
        <v>97268.75</v>
      </c>
    </row>
    <row r="35" spans="2:8" ht="12" thickBot="1" x14ac:dyDescent="0.25">
      <c r="B35" s="253" t="s">
        <v>847</v>
      </c>
      <c r="D35" s="254">
        <f>E33</f>
        <v>160302.25</v>
      </c>
      <c r="E35" s="249"/>
    </row>
    <row r="36" spans="2:8" ht="12" thickTop="1" x14ac:dyDescent="0.2">
      <c r="B36" t="s">
        <v>815</v>
      </c>
      <c r="D36" s="20">
        <f>D33</f>
        <v>2958867.58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WESTMORELAND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242011.36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7647.03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196970.18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42437.96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3181.86</v>
      </c>
      <c r="D12" s="95">
        <f>'DOE25'!G13</f>
        <v>2275.1799999999998</v>
      </c>
      <c r="E12" s="95">
        <f>'DOE25'!H13</f>
        <v>42914.48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82.05</v>
      </c>
      <c r="D13" s="95">
        <f>'DOE25'!G14</f>
        <v>1282.3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295360.25999999995</v>
      </c>
      <c r="D18" s="41">
        <f>SUM(D8:D17)</f>
        <v>3557.4799999999996</v>
      </c>
      <c r="E18" s="41">
        <f>SUM(E8:E17)</f>
        <v>42914.48</v>
      </c>
      <c r="F18" s="41">
        <f>SUM(F8:F17)</f>
        <v>0</v>
      </c>
      <c r="G18" s="41">
        <f>SUM(G8:G17)</f>
        <v>196970.18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1161.74</v>
      </c>
      <c r="E21" s="95">
        <f>'DOE25'!H22</f>
        <v>41276.22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880.55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15738.75</v>
      </c>
      <c r="D23" s="95">
        <f>'DOE25'!G24</f>
        <v>0</v>
      </c>
      <c r="E23" s="95">
        <f>'DOE25'!H24</f>
        <v>923.6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7945.77</v>
      </c>
      <c r="D27" s="95">
        <f>'DOE25'!G28</f>
        <v>1435.06</v>
      </c>
      <c r="E27" s="95">
        <f>'DOE25'!H28</f>
        <v>714.66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960.68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24565.07</v>
      </c>
      <c r="D31" s="41">
        <f>SUM(D21:D30)</f>
        <v>3557.48</v>
      </c>
      <c r="E31" s="41">
        <f>SUM(E21:E30)</f>
        <v>42914.48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102951.5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41078.5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196970.18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126765.19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270795.19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196970.18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295360.26</v>
      </c>
      <c r="D51" s="41">
        <f>D50+D31</f>
        <v>3557.48</v>
      </c>
      <c r="E51" s="41">
        <f>E50+E31</f>
        <v>42914.48</v>
      </c>
      <c r="F51" s="41">
        <f>F50+F31</f>
        <v>0</v>
      </c>
      <c r="G51" s="41">
        <f>G50+G31</f>
        <v>196970.18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2158848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600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1622.39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262.19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1032.6399999999999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35953.35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43275.520000000004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45760.100000000006</v>
      </c>
      <c r="D62" s="130">
        <f>SUM(D57:D61)</f>
        <v>35953.35</v>
      </c>
      <c r="E62" s="130">
        <f>SUM(E57:E61)</f>
        <v>0</v>
      </c>
      <c r="F62" s="130">
        <f>SUM(F57:F61)</f>
        <v>0</v>
      </c>
      <c r="G62" s="130">
        <f>SUM(G57:G61)</f>
        <v>1032.6399999999999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2204608.1</v>
      </c>
      <c r="D63" s="22">
        <f>D56+D62</f>
        <v>35953.35</v>
      </c>
      <c r="E63" s="22">
        <f>E56+E62</f>
        <v>0</v>
      </c>
      <c r="F63" s="22">
        <f>F56+F62</f>
        <v>0</v>
      </c>
      <c r="G63" s="22">
        <f>G56+G62</f>
        <v>1032.6399999999999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663552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434867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1098419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28230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30426.85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991.51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58656.85</v>
      </c>
      <c r="D78" s="130">
        <f>SUM(D72:D77)</f>
        <v>991.51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1157075.8500000001</v>
      </c>
      <c r="D81" s="130">
        <f>SUM(D79:D80)+D78+D70</f>
        <v>991.51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3409.57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19142.810000000001</v>
      </c>
      <c r="D88" s="95">
        <f>SUM('DOE25'!G153:G161)</f>
        <v>25399.21</v>
      </c>
      <c r="E88" s="95">
        <f>SUM('DOE25'!H153:H161)</f>
        <v>79776.55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19142.810000000001</v>
      </c>
      <c r="D91" s="131">
        <f>SUM(D85:D90)</f>
        <v>25399.21</v>
      </c>
      <c r="E91" s="131">
        <f>SUM(E85:E90)</f>
        <v>83186.12000000001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44278.96</v>
      </c>
      <c r="E96" s="95">
        <f>'DOE25'!H179</f>
        <v>0</v>
      </c>
      <c r="F96" s="95">
        <f>'DOE25'!I179</f>
        <v>0</v>
      </c>
      <c r="G96" s="95">
        <f>'DOE25'!J179</f>
        <v>38876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44278.96</v>
      </c>
      <c r="E103" s="86">
        <f>SUM(E93:E102)</f>
        <v>0</v>
      </c>
      <c r="F103" s="86">
        <f>SUM(F93:F102)</f>
        <v>0</v>
      </c>
      <c r="G103" s="86">
        <f>SUM(G93:G102)</f>
        <v>38876</v>
      </c>
    </row>
    <row r="104" spans="1:7" ht="12.75" thickTop="1" thickBot="1" x14ac:dyDescent="0.25">
      <c r="A104" s="33" t="s">
        <v>765</v>
      </c>
      <c r="C104" s="86">
        <f>C63+C81+C91+C103</f>
        <v>3380826.7600000002</v>
      </c>
      <c r="D104" s="86">
        <f>D63+D81+D91+D103</f>
        <v>106623.03</v>
      </c>
      <c r="E104" s="86">
        <f>E63+E81+E91+E103</f>
        <v>83186.12000000001</v>
      </c>
      <c r="F104" s="86">
        <f>F63+F81+F91+F103</f>
        <v>0</v>
      </c>
      <c r="G104" s="86">
        <f>G63+G81+G103</f>
        <v>39908.639999999999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1588768.6800000002</v>
      </c>
      <c r="D109" s="24" t="s">
        <v>289</v>
      </c>
      <c r="E109" s="95">
        <f>('DOE25'!L276)+('DOE25'!L295)+('DOE25'!L314)</f>
        <v>29613.99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408640.84</v>
      </c>
      <c r="D110" s="24" t="s">
        <v>289</v>
      </c>
      <c r="E110" s="95">
        <f>('DOE25'!L277)+('DOE25'!L296)+('DOE25'!L315)</f>
        <v>19717.28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23536.79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2020946.3100000003</v>
      </c>
      <c r="D115" s="86">
        <f>SUM(D109:D114)</f>
        <v>0</v>
      </c>
      <c r="E115" s="86">
        <f>SUM(E109:E114)</f>
        <v>49331.270000000004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131721.68000000002</v>
      </c>
      <c r="D118" s="24" t="s">
        <v>289</v>
      </c>
      <c r="E118" s="95">
        <f>+('DOE25'!L281)+('DOE25'!L300)+('DOE25'!L319)</f>
        <v>132.94999999999999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64970.57</v>
      </c>
      <c r="D119" s="24" t="s">
        <v>289</v>
      </c>
      <c r="E119" s="95">
        <f>+('DOE25'!L282)+('DOE25'!L301)+('DOE25'!L320)</f>
        <v>29719.35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186261.62</v>
      </c>
      <c r="D120" s="24" t="s">
        <v>289</v>
      </c>
      <c r="E120" s="95">
        <f>+('DOE25'!L283)+('DOE25'!L302)+('DOE25'!L321)</f>
        <v>1644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165741.68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2358.5500000000002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194758.39999999999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218802.88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642.35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106623.03000000001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962899.18</v>
      </c>
      <c r="D128" s="86">
        <f>SUM(D118:D127)</f>
        <v>106623.03000000001</v>
      </c>
      <c r="E128" s="86">
        <f>SUM(E118:E127)</f>
        <v>33854.85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85000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12268.75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44278.96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15129.36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24779.279999999999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-1032.6399999999994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180423.71000000002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3164269.2</v>
      </c>
      <c r="D145" s="86">
        <f>(D115+D128+D144)</f>
        <v>106623.03000000001</v>
      </c>
      <c r="E145" s="86">
        <f>(E115+E128+E144)</f>
        <v>83186.12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08/07</v>
      </c>
      <c r="C152" s="152" t="str">
        <f>'DOE25'!G491</f>
        <v>08/10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08/17</v>
      </c>
      <c r="C153" s="152" t="str">
        <f>'DOE25'!G492</f>
        <v>08/15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440000</v>
      </c>
      <c r="C154" s="137">
        <f>'DOE25'!G493</f>
        <v>215000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4.28</v>
      </c>
      <c r="C155" s="137">
        <f>'DOE25'!G494</f>
        <v>1.99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210000</v>
      </c>
      <c r="C156" s="137">
        <f>'DOE25'!G495</f>
        <v>120000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330000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45000</v>
      </c>
      <c r="C158" s="137">
        <f>'DOE25'!G497</f>
        <v>40000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85000</v>
      </c>
    </row>
    <row r="159" spans="1:9" x14ac:dyDescent="0.2">
      <c r="A159" s="22" t="s">
        <v>35</v>
      </c>
      <c r="B159" s="137">
        <f>'DOE25'!F498</f>
        <v>165000</v>
      </c>
      <c r="C159" s="137">
        <f>'DOE25'!G498</f>
        <v>80000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245000</v>
      </c>
    </row>
    <row r="160" spans="1:9" x14ac:dyDescent="0.2">
      <c r="A160" s="22" t="s">
        <v>36</v>
      </c>
      <c r="B160" s="137">
        <f>'DOE25'!F499</f>
        <v>15956.25</v>
      </c>
      <c r="C160" s="137">
        <f>'DOE25'!G499</f>
        <v>2600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18556.25</v>
      </c>
    </row>
    <row r="161" spans="1:7" x14ac:dyDescent="0.2">
      <c r="A161" s="22" t="s">
        <v>37</v>
      </c>
      <c r="B161" s="137">
        <f>'DOE25'!F500</f>
        <v>180956.25</v>
      </c>
      <c r="C161" s="137">
        <f>'DOE25'!G500</f>
        <v>82600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263556.25</v>
      </c>
    </row>
    <row r="162" spans="1:7" x14ac:dyDescent="0.2">
      <c r="A162" s="22" t="s">
        <v>38</v>
      </c>
      <c r="B162" s="137">
        <f>'DOE25'!F501</f>
        <v>45000</v>
      </c>
      <c r="C162" s="137">
        <f>'DOE25'!G501</f>
        <v>40000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85000</v>
      </c>
    </row>
    <row r="163" spans="1:7" x14ac:dyDescent="0.2">
      <c r="A163" s="22" t="s">
        <v>39</v>
      </c>
      <c r="B163" s="137">
        <f>'DOE25'!F502</f>
        <v>6956.25</v>
      </c>
      <c r="C163" s="137">
        <f>'DOE25'!G502</f>
        <v>2000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8956.25</v>
      </c>
    </row>
    <row r="164" spans="1:7" x14ac:dyDescent="0.2">
      <c r="A164" s="22" t="s">
        <v>246</v>
      </c>
      <c r="B164" s="137">
        <f>'DOE25'!F503</f>
        <v>51956.25</v>
      </c>
      <c r="C164" s="137">
        <f>'DOE25'!G503</f>
        <v>42000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93956.25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WESTMORELAND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12888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12888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1618383</v>
      </c>
      <c r="D10" s="182">
        <f>ROUND((C10/$C$28)*100,1)</f>
        <v>51.4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428358</v>
      </c>
      <c r="D11" s="182">
        <f>ROUND((C11/$C$28)*100,1)</f>
        <v>13.6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23537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131855</v>
      </c>
      <c r="D15" s="182">
        <f t="shared" ref="D15:D27" si="0">ROUND((C15/$C$28)*100,1)</f>
        <v>4.2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94690</v>
      </c>
      <c r="D16" s="182">
        <f t="shared" si="0"/>
        <v>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188548</v>
      </c>
      <c r="D17" s="182">
        <f t="shared" si="0"/>
        <v>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165742</v>
      </c>
      <c r="D18" s="182">
        <f t="shared" si="0"/>
        <v>5.3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2359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194758</v>
      </c>
      <c r="D20" s="182">
        <f t="shared" si="0"/>
        <v>6.2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218803</v>
      </c>
      <c r="D21" s="182">
        <f t="shared" si="0"/>
        <v>6.9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12269</v>
      </c>
      <c r="D25" s="182">
        <f t="shared" si="0"/>
        <v>0.4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70669.649999999994</v>
      </c>
      <c r="D27" s="182">
        <f t="shared" si="0"/>
        <v>2.2000000000000002</v>
      </c>
    </row>
    <row r="28" spans="1:4" x14ac:dyDescent="0.2">
      <c r="B28" s="187" t="s">
        <v>723</v>
      </c>
      <c r="C28" s="180">
        <f>SUM(C10:C27)</f>
        <v>3149971.65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3149971.65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85000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2158848</v>
      </c>
      <c r="D35" s="182">
        <f t="shared" ref="D35:D40" si="1">ROUND((C35/$C$41)*100,1)</f>
        <v>61.8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46792.740000000224</v>
      </c>
      <c r="D36" s="182">
        <f t="shared" si="1"/>
        <v>1.3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1098419</v>
      </c>
      <c r="D37" s="182">
        <f t="shared" si="1"/>
        <v>31.5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59648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127728</v>
      </c>
      <c r="D39" s="182">
        <f t="shared" si="1"/>
        <v>3.7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3491435.74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WESTMORELAND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2014-09-19T18:23:23Z</cp:lastPrinted>
  <dcterms:created xsi:type="dcterms:W3CDTF">1997-12-04T19:04:30Z</dcterms:created>
  <dcterms:modified xsi:type="dcterms:W3CDTF">2014-09-29T18:39:55Z</dcterms:modified>
</cp:coreProperties>
</file>