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C120" i="2" s="1"/>
  <c r="L240" i="1"/>
  <c r="D39" i="13"/>
  <c r="F13" i="13"/>
  <c r="G13" i="13"/>
  <c r="L206" i="1"/>
  <c r="L224" i="1"/>
  <c r="C122" i="2" s="1"/>
  <c r="L242" i="1"/>
  <c r="F16" i="13"/>
  <c r="G16" i="13"/>
  <c r="L209" i="1"/>
  <c r="C125" i="2" s="1"/>
  <c r="L227" i="1"/>
  <c r="L245" i="1"/>
  <c r="F5" i="13"/>
  <c r="G5" i="13"/>
  <c r="D5" i="13" s="1"/>
  <c r="C5" i="13" s="1"/>
  <c r="L197" i="1"/>
  <c r="L198" i="1"/>
  <c r="C11" i="10" s="1"/>
  <c r="L199" i="1"/>
  <c r="L200" i="1"/>
  <c r="C13" i="10" s="1"/>
  <c r="L215" i="1"/>
  <c r="L216" i="1"/>
  <c r="L217" i="1"/>
  <c r="L218" i="1"/>
  <c r="L233" i="1"/>
  <c r="L234" i="1"/>
  <c r="L247" i="1" s="1"/>
  <c r="L235" i="1"/>
  <c r="L236" i="1"/>
  <c r="F6" i="13"/>
  <c r="G6" i="13"/>
  <c r="L202" i="1"/>
  <c r="L220" i="1"/>
  <c r="C118" i="2" s="1"/>
  <c r="L238" i="1"/>
  <c r="F7" i="13"/>
  <c r="G7" i="13"/>
  <c r="L203" i="1"/>
  <c r="C16" i="10" s="1"/>
  <c r="L221" i="1"/>
  <c r="L239" i="1"/>
  <c r="F12" i="13"/>
  <c r="G12" i="13"/>
  <c r="L205" i="1"/>
  <c r="L223" i="1"/>
  <c r="C18" i="10" s="1"/>
  <c r="L241" i="1"/>
  <c r="F14" i="13"/>
  <c r="G14" i="13"/>
  <c r="L207" i="1"/>
  <c r="D14" i="13" s="1"/>
  <c r="C14" i="13" s="1"/>
  <c r="L225" i="1"/>
  <c r="L243" i="1"/>
  <c r="F15" i="13"/>
  <c r="G15" i="13"/>
  <c r="L208" i="1"/>
  <c r="L226" i="1"/>
  <c r="C124" i="2" s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H660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29" i="10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C35" i="10" s="1"/>
  <c r="H60" i="1"/>
  <c r="I60" i="1"/>
  <c r="F79" i="1"/>
  <c r="C57" i="2" s="1"/>
  <c r="F94" i="1"/>
  <c r="C58" i="2" s="1"/>
  <c r="F111" i="1"/>
  <c r="G111" i="1"/>
  <c r="H79" i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I147" i="1"/>
  <c r="I169" i="1" s="1"/>
  <c r="I162" i="1"/>
  <c r="C10" i="10"/>
  <c r="C12" i="10"/>
  <c r="C15" i="10"/>
  <c r="C17" i="10"/>
  <c r="C19" i="10"/>
  <c r="C21" i="10"/>
  <c r="L250" i="1"/>
  <c r="L332" i="1"/>
  <c r="L254" i="1"/>
  <c r="C25" i="10"/>
  <c r="L268" i="1"/>
  <c r="L269" i="1"/>
  <c r="L349" i="1"/>
  <c r="L350" i="1"/>
  <c r="E143" i="2" s="1"/>
  <c r="I665" i="1"/>
  <c r="I670" i="1"/>
  <c r="L229" i="1"/>
  <c r="F661" i="1"/>
  <c r="H661" i="1"/>
  <c r="F662" i="1"/>
  <c r="G662" i="1"/>
  <c r="I662" i="1" s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D18" i="2" s="1"/>
  <c r="E8" i="2"/>
  <c r="F8" i="2"/>
  <c r="I439" i="1"/>
  <c r="J9" i="1" s="1"/>
  <c r="G8" i="2" s="1"/>
  <c r="C9" i="2"/>
  <c r="C18" i="2" s="1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6" i="2"/>
  <c r="F56" i="2"/>
  <c r="E57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81" i="2" s="1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C91" i="2" s="1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5" i="2" s="1"/>
  <c r="E110" i="2"/>
  <c r="C111" i="2"/>
  <c r="E111" i="2"/>
  <c r="E112" i="2"/>
  <c r="C113" i="2"/>
  <c r="E113" i="2"/>
  <c r="E114" i="2"/>
  <c r="D115" i="2"/>
  <c r="F115" i="2"/>
  <c r="G115" i="2"/>
  <c r="E118" i="2"/>
  <c r="E128" i="2" s="1"/>
  <c r="E119" i="2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J617" i="1" s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G257" i="1" s="1"/>
  <c r="G271" i="1" s="1"/>
  <c r="H211" i="1"/>
  <c r="I211" i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L270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H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F460" i="1"/>
  <c r="G460" i="1"/>
  <c r="H460" i="1"/>
  <c r="F461" i="1"/>
  <c r="H639" i="1" s="1"/>
  <c r="J639" i="1" s="1"/>
  <c r="G461" i="1"/>
  <c r="H461" i="1"/>
  <c r="H641" i="1" s="1"/>
  <c r="F470" i="1"/>
  <c r="G470" i="1"/>
  <c r="H470" i="1"/>
  <c r="H476" i="1" s="1"/>
  <c r="H624" i="1" s="1"/>
  <c r="I470" i="1"/>
  <c r="J470" i="1"/>
  <c r="F474" i="1"/>
  <c r="G474" i="1"/>
  <c r="G476" i="1" s="1"/>
  <c r="H623" i="1" s="1"/>
  <c r="J623" i="1" s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I545" i="1" s="1"/>
  <c r="J524" i="1"/>
  <c r="K524" i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J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H640" i="1"/>
  <c r="G641" i="1"/>
  <c r="J641" i="1" s="1"/>
  <c r="G643" i="1"/>
  <c r="J643" i="1" s="1"/>
  <c r="H643" i="1"/>
  <c r="G644" i="1"/>
  <c r="H644" i="1"/>
  <c r="G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L256" i="1"/>
  <c r="I257" i="1"/>
  <c r="I271" i="1" s="1"/>
  <c r="G164" i="2"/>
  <c r="C26" i="10"/>
  <c r="L351" i="1"/>
  <c r="L290" i="1"/>
  <c r="A31" i="12"/>
  <c r="C70" i="2"/>
  <c r="A40" i="12"/>
  <c r="D12" i="13"/>
  <c r="C12" i="13" s="1"/>
  <c r="D18" i="13"/>
  <c r="C18" i="13" s="1"/>
  <c r="D7" i="13"/>
  <c r="C7" i="13" s="1"/>
  <c r="D17" i="13"/>
  <c r="C17" i="13" s="1"/>
  <c r="E8" i="13"/>
  <c r="C8" i="13" s="1"/>
  <c r="F78" i="2"/>
  <c r="F81" i="2" s="1"/>
  <c r="D50" i="2"/>
  <c r="F18" i="2"/>
  <c r="G156" i="2"/>
  <c r="E103" i="2"/>
  <c r="E62" i="2"/>
  <c r="E63" i="2" s="1"/>
  <c r="G62" i="2"/>
  <c r="D19" i="13"/>
  <c r="C19" i="13" s="1"/>
  <c r="E13" i="13"/>
  <c r="C13" i="13" s="1"/>
  <c r="E78" i="2"/>
  <c r="E81" i="2" s="1"/>
  <c r="J257" i="1"/>
  <c r="J271" i="1" s="1"/>
  <c r="J571" i="1"/>
  <c r="L433" i="1"/>
  <c r="D81" i="2"/>
  <c r="H169" i="1"/>
  <c r="J644" i="1"/>
  <c r="J476" i="1"/>
  <c r="H626" i="1" s="1"/>
  <c r="F476" i="1"/>
  <c r="H622" i="1" s="1"/>
  <c r="J622" i="1" s="1"/>
  <c r="F169" i="1"/>
  <c r="F571" i="1"/>
  <c r="H257" i="1"/>
  <c r="K549" i="1"/>
  <c r="G22" i="2"/>
  <c r="K545" i="1"/>
  <c r="H552" i="1"/>
  <c r="L401" i="1"/>
  <c r="C139" i="2" s="1"/>
  <c r="A13" i="12"/>
  <c r="H25" i="13"/>
  <c r="C25" i="13" s="1"/>
  <c r="J651" i="1"/>
  <c r="J640" i="1"/>
  <c r="H571" i="1"/>
  <c r="J545" i="1"/>
  <c r="H338" i="1"/>
  <c r="H352" i="1" s="1"/>
  <c r="F338" i="1"/>
  <c r="F352" i="1" s="1"/>
  <c r="H192" i="1"/>
  <c r="F552" i="1"/>
  <c r="L309" i="1"/>
  <c r="E16" i="13"/>
  <c r="E33" i="13" s="1"/>
  <c r="D35" i="13" s="1"/>
  <c r="I571" i="1"/>
  <c r="J636" i="1"/>
  <c r="L565" i="1"/>
  <c r="K551" i="1"/>
  <c r="H33" i="13"/>
  <c r="D127" i="2" l="1"/>
  <c r="D128" i="2" s="1"/>
  <c r="D145" i="2" s="1"/>
  <c r="H664" i="1"/>
  <c r="H667" i="1" s="1"/>
  <c r="D91" i="2"/>
  <c r="F192" i="1"/>
  <c r="F112" i="1"/>
  <c r="C36" i="10" s="1"/>
  <c r="J634" i="1"/>
  <c r="L257" i="1"/>
  <c r="L271" i="1" s="1"/>
  <c r="G632" i="1" s="1"/>
  <c r="J632" i="1" s="1"/>
  <c r="C16" i="13"/>
  <c r="F22" i="13"/>
  <c r="C22" i="13" s="1"/>
  <c r="K550" i="1"/>
  <c r="K552" i="1" s="1"/>
  <c r="H271" i="1"/>
  <c r="D29" i="13"/>
  <c r="C29" i="13" s="1"/>
  <c r="G624" i="1"/>
  <c r="J624" i="1" s="1"/>
  <c r="L534" i="1"/>
  <c r="K500" i="1"/>
  <c r="I460" i="1"/>
  <c r="I452" i="1"/>
  <c r="I461" i="1" s="1"/>
  <c r="H642" i="1" s="1"/>
  <c r="J642" i="1" s="1"/>
  <c r="I446" i="1"/>
  <c r="G642" i="1" s="1"/>
  <c r="F271" i="1"/>
  <c r="C123" i="2"/>
  <c r="C121" i="2"/>
  <c r="C119" i="2"/>
  <c r="C128" i="2" s="1"/>
  <c r="C112" i="2"/>
  <c r="C110" i="2"/>
  <c r="C115" i="2" s="1"/>
  <c r="F85" i="2"/>
  <c r="G661" i="1"/>
  <c r="I661" i="1" s="1"/>
  <c r="L211" i="1"/>
  <c r="C20" i="10"/>
  <c r="L362" i="1"/>
  <c r="C27" i="10" s="1"/>
  <c r="F660" i="1"/>
  <c r="F664" i="1" s="1"/>
  <c r="G81" i="2"/>
  <c r="C62" i="2"/>
  <c r="C63" i="2" s="1"/>
  <c r="G112" i="1"/>
  <c r="D6" i="13"/>
  <c r="C6" i="13" s="1"/>
  <c r="D15" i="13"/>
  <c r="C15" i="13" s="1"/>
  <c r="L544" i="1"/>
  <c r="L524" i="1"/>
  <c r="J338" i="1"/>
  <c r="J352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I660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I140" i="1"/>
  <c r="I193" i="1" s="1"/>
  <c r="G630" i="1" s="1"/>
  <c r="J630" i="1" s="1"/>
  <c r="A22" i="12"/>
  <c r="H646" i="1"/>
  <c r="H648" i="1"/>
  <c r="J648" i="1" s="1"/>
  <c r="J652" i="1"/>
  <c r="G571" i="1"/>
  <c r="I434" i="1"/>
  <c r="G434" i="1"/>
  <c r="E104" i="2"/>
  <c r="I663" i="1"/>
  <c r="G635" i="1"/>
  <c r="J635" i="1" s="1"/>
  <c r="H672" i="1" l="1"/>
  <c r="C6" i="10" s="1"/>
  <c r="D104" i="2"/>
  <c r="F193" i="1"/>
  <c r="G627" i="1" s="1"/>
  <c r="J627" i="1" s="1"/>
  <c r="C104" i="2"/>
  <c r="F672" i="1"/>
  <c r="C4" i="10" s="1"/>
  <c r="F667" i="1"/>
  <c r="C28" i="10"/>
  <c r="D23" i="10" s="1"/>
  <c r="C145" i="2"/>
  <c r="G664" i="1"/>
  <c r="L545" i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19" i="10"/>
  <c r="D25" i="10"/>
  <c r="D15" i="10"/>
  <c r="D20" i="10"/>
  <c r="D13" i="10" l="1"/>
  <c r="D11" i="10"/>
  <c r="D21" i="10"/>
  <c r="D22" i="10"/>
  <c r="D27" i="10"/>
  <c r="D18" i="10"/>
  <c r="D17" i="10"/>
  <c r="D12" i="10"/>
  <c r="D24" i="10"/>
  <c r="G672" i="1"/>
  <c r="C5" i="10" s="1"/>
  <c r="G667" i="1"/>
  <c r="D10" i="10"/>
  <c r="D26" i="10"/>
  <c r="C30" i="10"/>
  <c r="D16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<sst xmlns="http://schemas.openxmlformats.org/spreadsheetml/2006/main" count="3960" uniqueCount="918">
  <si>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</si>
  <si>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</si>
  <si>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</si>
  <si>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</si>
  <si>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</si>
  <si>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</si>
  <si>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</si>
  <si>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</si>
  <si>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</si>
  <si>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</si>
  <si>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</si>
  <si>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</si>
  <si>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</si>
  <si>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</si>
  <si>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</si>
  <si>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</si>
  <si>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</si>
  <si>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</si>
  <si>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</si>
  <si>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</si>
  <si>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</si>
  <si>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</si>
  <si>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</si>
  <si>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</si>
  <si>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</si>
  <si>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</si>
  <si>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</si>
  <si>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</si>
  <si>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</si>
  <si>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</si>
  <si>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</si>
  <si>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</si>
  <si>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</si>
  <si>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</si>
  <si>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</si>
  <si>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</si>
  <si>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</si>
  <si>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</si>
  <si>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</si>
  <si>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</si>
  <si>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</si>
  <si>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</si>
  <si>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</si>
  <si>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</si>
  <si>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</si>
  <si>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</si>
  <si>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</si>
  <si>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</si>
  <si>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</si>
  <si>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</si>
  <si>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</si>
  <si>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</si>
  <si>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</si>
  <si>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</si>
  <si>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</si>
  <si>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</si>
  <si>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</si>
  <si>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</si>
  <si>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</si>
  <si>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</si>
  <si>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</si>
  <si>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</si>
  <si>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</si>
  <si>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</si>
  <si>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</si>
  <si>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</si>
  <si>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</si>
  <si>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</si>
  <si>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</si>
  <si>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</si>
  <si>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</si>
  <si>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</si>
  <si>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</si>
  <si>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</si>
  <si>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</si>
  <si>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</si>
  <si>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</si>
  <si>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</si>
  <si>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</si>
  <si>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</si>
  <si>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</si>
  <si>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</si>
  <si>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</si>
  <si>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</si>
  <si>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</si>
  <si>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</si>
  <si>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</si>
  <si>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</si>
  <si>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</si>
  <si>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</si>
  <si>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</si>
  <si>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</si>
  <si>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</si>
  <si>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</si>
  <si>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</si>
  <si>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</si>
  <si>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</si>
  <si>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</si>
  <si>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</si>
  <si>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</si>
  <si>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</si>
  <si>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</si>
  <si>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</si>
  <si>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</si>
  <si>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</si>
  <si>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</si>
  <si>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</si>
  <si>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</si>
  <si>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</si>
  <si>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</si>
  <si>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</si>
  <si>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</si>
  <si>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</si>
  <si>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</si>
  <si>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</si>
  <si>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</si>
  <si>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</si>
  <si>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</si>
  <si>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</si>
  <si>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</si>
  <si>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</si>
  <si>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</si>
  <si>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</si>
  <si>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</si>
  <si>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</si>
  <si>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</si>
  <si>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</si>
  <si>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</si>
  <si>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</si>
  <si>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</si>
  <si>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</si>
  <si>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</si>
  <si>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</si>
  <si>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</si>
  <si>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</si>
  <si>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</si>
  <si>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</si>
  <si>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</si>
  <si>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</si>
  <si>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</si>
  <si>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</si>
  <si>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</si>
  <si>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</si>
  <si>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</si>
  <si>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</si>
  <si>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</si>
  <si>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</si>
  <si>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</si>
  <si>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</si>
  <si>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</si>
  <si>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</si>
  <si>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</si>
  <si>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</si>
  <si>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</si>
  <si>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</si>
  <si>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</si>
  <si>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</si>
  <si>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</si>
  <si>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</si>
  <si>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</si>
  <si>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</si>
  <si>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</si>
  <si>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</si>
  <si>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</si>
  <si>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</si>
  <si>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</si>
  <si>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</si>
  <si>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</si>
  <si>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</si>
  <si>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</si>
  <si>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</si>
  <si>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</si>
  <si>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</si>
  <si>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</si>
  <si>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</si>
  <si>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</si>
  <si>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</si>
  <si>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</si>
  <si>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</si>
  <si>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</si>
  <si>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</si>
  <si>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</si>
  <si>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</si>
  <si>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</si>
  <si>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</si>
  <si>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</si>
  <si>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</si>
  <si>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</si>
  <si>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</si>
  <si>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</si>
  <si>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</si>
  <si>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</si>
  <si>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</si>
  <si>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</si>
  <si>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</si>
  <si>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</si>
  <si>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</si>
  <si>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</si>
  <si>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</si>
  <si>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</si>
  <si>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</si>
  <si>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</si>
  <si>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</si>
  <si>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</si>
  <si>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</si>
  <si>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</si>
  <si>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</si>
  <si>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</si>
  <si>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</si>
  <si>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</si>
  <si>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</si>
  <si>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</si>
  <si>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</si>
  <si>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</si>
  <si>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</si>
  <si>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</si>
  <si>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</si>
  <si>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</si>
  <si>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</si>
  <si>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</si>
  <si>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</si>
  <si>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</si>
  <si>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</si>
  <si>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</si>
  <si>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</si>
  <si>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</si>
  <si>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</si>
  <si>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</si>
  <si>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</si>
  <si>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</si>
  <si>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</si>
  <si>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</si>
  <si>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</si>
  <si>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</si>
  <si>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</si>
  <si>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</si>
  <si>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</si>
  <si>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</si>
  <si>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</si>
  <si>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</si>
  <si>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</si>
  <si>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</si>
  <si>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</si>
  <si>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</si>
  <si>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</si>
  <si>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</si>
  <si>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</si>
  <si>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</si>
  <si>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</si>
  <si>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</si>
  <si>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</si>
  <si>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</si>
  <si>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</si>
  <si>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</si>
  <si>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</si>
  <si>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</si>
  <si>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</si>
  <si>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</si>
  <si>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</si>
  <si>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</si>
  <si>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</si>
  <si>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</si>
  <si>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</si>
  <si>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</si>
  <si>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</si>
  <si>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</si>
  <si>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</si>
  <si>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</si>
  <si>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</si>
  <si>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</si>
  <si>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</si>
  <si>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</si>
  <si>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</si>
  <si>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</si>
  <si>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</si>
  <si>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</si>
  <si>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</si>
  <si>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</si>
  <si>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</si>
  <si>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</si>
  <si>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</si>
  <si>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</si>
  <si>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</si>
  <si>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</si>
  <si>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</si>
  <si>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</si>
  <si>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</si>
  <si>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</si>
  <si>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</si>
  <si>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</si>
  <si>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</si>
  <si>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</si>
  <si>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</si>
  <si>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</si>
  <si>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</si>
  <si>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</si>
  <si>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</si>
  <si>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</si>
  <si>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</si>
  <si>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</si>
  <si>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</si>
  <si>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</si>
  <si>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</si>
  <si>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</si>
  <si>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</si>
  <si>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</si>
  <si>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</si>
  <si>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</si>
  <si>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</si>
  <si>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</si>
  <si>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</si>
  <si>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</si>
  <si>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</si>
  <si>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</si>
  <si>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</si>
  <si>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</si>
  <si>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</si>
  <si>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</si>
  <si>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</si>
  <si>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</si>
  <si>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</si>
  <si>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</si>
  <si>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</si>
  <si>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</si>
  <si>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</si>
  <si>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</si>
  <si>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</si>
  <si>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</si>
  <si>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</si>
  <si>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</si>
  <si>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</si>
  <si>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</si>
  <si>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</si>
  <si>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</si>
  <si>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</si>
  <si>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</si>
  <si>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</si>
  <si>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</si>
  <si>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</si>
  <si>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</si>
  <si>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</si>
  <si>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</si>
  <si>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</si>
  <si>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</si>
  <si>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</si>
  <si>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</si>
  <si>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</si>
  <si>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</si>
  <si>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</si>
  <si>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</si>
  <si>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</si>
  <si>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</si>
  <si>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</si>
  <si>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</si>
  <si>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</si>
  <si>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</si>
  <si>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</si>
  <si>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</si>
  <si>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</si>
  <si>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</si>
  <si>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</si>
  <si>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</si>
  <si>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</si>
  <si>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</si>
  <si>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</si>
  <si>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</si>
  <si>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</si>
  <si>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</si>
  <si>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</si>
  <si>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</si>
  <si>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</si>
  <si>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</si>
  <si>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</si>
  <si>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</si>
  <si>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</si>
  <si>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</si>
  <si>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</si>
  <si>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</si>
  <si>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</si>
  <si>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</si>
  <si>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</si>
  <si>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</si>
  <si>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</si>
  <si>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</si>
  <si>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</si>
  <si>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</si>
  <si>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</si>
  <si>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</si>
  <si>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</si>
  <si>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</si>
  <si>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</si>
  <si>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</si>
  <si>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</si>
  <si>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</si>
  <si>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</si>
  <si>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</si>
  <si>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</si>
  <si>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</si>
  <si>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</si>
  <si>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</si>
  <si>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</si>
  <si>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</si>
  <si>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</si>
  <si>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</si>
  <si>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</si>
  <si>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</si>
  <si>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</si>
  <si>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</si>
  <si>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</si>
  <si>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</si>
  <si>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</si>
  <si>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</si>
  <si>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</si>
  <si>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</si>
  <si>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</si>
  <si>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</si>
  <si>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</si>
  <si>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</si>
  <si>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</si>
  <si>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</si>
  <si>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</si>
  <si>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</si>
  <si>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</si>
  <si>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</si>
  <si>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</si>
  <si>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</si>
  <si>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</si>
  <si>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</si>
  <si>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</si>
  <si>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</si>
  <si>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</si>
  <si>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</si>
  <si>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</si>
  <si>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</si>
  <si>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</si>
  <si>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</si>
  <si>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</si>
  <si>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</si>
  <si>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</si>
  <si>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</si>
  <si>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</si>
  <si>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</si>
  <si>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</si>
  <si>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</si>
  <si>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</si>
  <si>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</si>
  <si>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</si>
  <si>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</si>
  <si>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</si>
  <si>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</si>
  <si>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</si>
  <si>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</si>
  <si>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</si>
  <si>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</si>
  <si>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</si>
  <si>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</si>
  <si>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</si>
  <si>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</si>
  <si>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</si>
  <si>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</si>
  <si>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</si>
  <si>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</si>
  <si>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</si>
  <si>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</si>
  <si>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</si>
  <si>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</si>
  <si>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</si>
  <si>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</si>
  <si>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</si>
  <si>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</si>
  <si>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</si>
  <si>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</si>
  <si>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</si>
  <si>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</si>
  <si>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</si>
  <si>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</si>
  <si>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</si>
  <si>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</si>
  <si>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</si>
  <si>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</si>
  <si>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</si>
  <si>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</si>
  <si>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</si>
  <si>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</si>
  <si>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</si>
  <si>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</si>
  <si>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</si>
  <si>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</si>
  <si>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</si>
  <si>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</si>
  <si>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</si>
  <si>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</si>
  <si>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</si>
  <si>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</si>
  <si>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</si>
  <si>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</si>
  <si>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</si>
  <si>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</si>
  <si>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</si>
  <si>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</si>
  <si>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</si>
  <si>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</si>
  <si>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</si>
  <si>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</si>
  <si>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</si>
  <si>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</si>
  <si>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</si>
  <si>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</si>
  <si>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</si>
  <si>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</si>
  <si>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</si>
  <si>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</si>
  <si>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</si>
  <si>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</si>
  <si>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</si>
  <si>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</si>
  <si>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</si>
  <si>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</si>
  <si>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</si>
  <si>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</si>
  <si>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</si>
  <si>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</si>
  <si>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</si>
  <si>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</si>
  <si>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</si>
  <si>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</si>
  <si>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</si>
  <si>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</si>
  <si>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</si>
  <si>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</si>
  <si>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</si>
  <si>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</si>
  <si>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</si>
  <si>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</si>
  <si>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</si>
  <si>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</si>
  <si>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</si>
  <si>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</si>
  <si>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</si>
  <si>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</si>
  <si>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</si>
  <si>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</si>
  <si>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</si>
  <si>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</si>
  <si>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</si>
  <si>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</si>
  <si>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</si>
  <si>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</si>
  <si>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</si>
  <si>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</si>
  <si>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</si>
  <si>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</si>
  <si>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</si>
  <si>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</si>
  <si>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</si>
  <si>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</si>
  <si>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</si>
  <si>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</si>
  <si>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</si>
  <si>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</si>
  <si>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</si>
  <si>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</si>
  <si>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</si>
  <si>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</si>
  <si>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</si>
  <si>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</si>
  <si>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</si>
  <si>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</si>
  <si>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</si>
  <si>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</si>
  <si>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</si>
  <si>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</si>
  <si>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</si>
  <si>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</si>
  <si>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</si>
  <si>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</si>
  <si>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</si>
  <si>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</si>
  <si>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</si>
  <si>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</si>
  <si>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</si>
  <si>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</si>
  <si>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</si>
  <si>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</si>
  <si>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</si>
  <si>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</si>
  <si>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</si>
  <si>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</si>
  <si>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</si>
  <si>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</si>
  <si>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</si>
  <si>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</si>
  <si>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</si>
  <si>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</si>
  <si>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</si>
  <si>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</si>
  <si>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</si>
  <si>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</si>
  <si>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</si>
  <si>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</si>
  <si>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</si>
  <si>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</si>
  <si>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</si>
  <si>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</si>
  <si>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</si>
  <si>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</si>
  <si>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</si>
  <si>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</si>
  <si>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</si>
  <si>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</si>
  <si>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</si>
  <si>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</si>
  <si>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</si>
  <si>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</si>
  <si>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</si>
  <si>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</si>
  <si>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</si>
  <si>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</si>
  <si>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</si>
  <si>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</si>
  <si>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</si>
  <si>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</si>
  <si>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</si>
  <si>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</si>
  <si>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</si>
  <si>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</si>
  <si>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</si>
  <si>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</si>
  <si>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</si>
  <si>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</si>
  <si>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</si>
  <si>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</si>
  <si>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</si>
  <si>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</si>
  <si>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</si>
  <si>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</si>
  <si>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</si>
  <si>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</si>
  <si>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</si>
  <si>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</si>
  <si>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</si>
  <si>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</si>
  <si>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</si>
  <si>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</si>
  <si>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</si>
  <si>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</si>
  <si>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</si>
  <si>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</si>
  <si>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</si>
  <si>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</si>
  <si>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</si>
  <si>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</si>
  <si>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</si>
  <si>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</si>
  <si>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</si>
  <si>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</si>
  <si>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</si>
  <si>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</si>
  <si>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</si>
  <si>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</si>
  <si>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</si>
  <si>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</si>
  <si>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</si>
  <si>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</si>
  <si>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</si>
  <si>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</si>
  <si>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</si>
  <si>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</si>
  <si>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</si>
  <si>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</si>
  <si>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</si>
  <si>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</si>
  <si>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</si>
  <si>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</si>
  <si>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</si>
  <si>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</si>
  <si>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</si>
  <si>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</si>
  <si>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</si>
  <si>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</si>
  <si>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</si>
  <si>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</si>
  <si>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</si>
  <si>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</si>
  <si>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</si>
  <si>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</si>
  <si>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</si>
  <si>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</si>
  <si>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</si>
  <si>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</si>
  <si>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</si>
  <si>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</si>
  <si>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</si>
  <si>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</si>
  <si>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</si>
  <si>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</si>
  <si>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</si>
  <si>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</si>
  <si>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</si>
  <si>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</si>
  <si>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</si>
  <si>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</si>
  <si>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</si>
  <si>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</si>
  <si>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</si>
  <si>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</si>
  <si>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</si>
  <si>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</si>
  <si>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</si>
  <si>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</si>
  <si>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</si>
  <si>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</si>
  <si>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</si>
  <si>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</si>
  <si>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</si>
  <si>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</si>
  <si>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</si>
  <si>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</si>
  <si>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</si>
  <si>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</si>
  <si>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</si>
  <si>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</si>
  <si>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</si>
  <si>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</si>
  <si>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</si>
  <si>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</si>
  <si>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</si>
  <si>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</si>
  <si>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</si>
  <si>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</si>
  <si>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</si>
  <si>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</si>
  <si>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</si>
  <si>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</si>
  <si>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</si>
  <si>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</si>
  <si>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</si>
  <si>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</si>
  <si>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</si>
  <si>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</si>
  <si>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</si>
  <si>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</si>
  <si>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</si>
  <si>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</si>
  <si>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</si>
  <si>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</si>
  <si>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</si>
  <si>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</si>
  <si>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</si>
  <si>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</si>
  <si>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</si>
  <si>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</si>
  <si>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</si>
  <si>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</si>
  <si>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</si>
  <si>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</si>
  <si>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</si>
  <si>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</si>
  <si>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</si>
  <si>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</si>
  <si>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</si>
  <si>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</si>
  <si>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</si>
  <si>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</si>
  <si>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</si>
  <si>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</si>
  <si>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</si>
  <si>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</si>
  <si>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</si>
  <si>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</si>
  <si>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</si>
  <si>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</si>
  <si>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</si>
  <si>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</si>
  <si>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</si>
  <si>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</si>
  <si>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</si>
  <si>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</si>
  <si>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</si>
  <si>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</si>
  <si>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</si>
  <si>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</si>
  <si>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</si>
  <si>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</si>
  <si>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</si>
  <si>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</si>
  <si>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</si>
  <si>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</si>
  <si>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</si>
  <si>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</si>
  <si>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</si>
  <si>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</si>
  <si>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</si>
  <si>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</si>
  <si>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</si>
  <si>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</si>
  <si>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</si>
  <si>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</si>
  <si>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</si>
  <si>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</si>
  <si>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</si>
  <si>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</si>
  <si>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</si>
  <si>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</si>
  <si>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</si>
  <si>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</si>
  <si>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</si>
  <si>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</si>
  <si>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</si>
  <si>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</si>
  <si>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</si>
  <si>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</si>
  <si>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</si>
  <si>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</si>
  <si>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</si>
  <si>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</si>
  <si>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</si>
  <si>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</si>
  <si>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</si>
  <si>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</si>
  <si>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</si>
  <si>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</si>
  <si>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</si>
  <si>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</si>
  <si>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</si>
  <si>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</si>
  <si>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</si>
  <si>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</si>
  <si>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</si>
  <si>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</si>
  <si>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</si>
  <si>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</si>
  <si>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</si>
  <si>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</si>
  <si>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</si>
  <si>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</si>
  <si>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</si>
  <si>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</si>
  <si>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</si>
  <si>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</si>
  <si>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</si>
  <si>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</si>
  <si>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</si>
  <si>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</si>
  <si>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</si>
  <si>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</si>
  <si>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</si>
  <si>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</si>
  <si>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</si>
  <si>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</si>
  <si>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</si>
  <si>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</si>
  <si>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</si>
  <si>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</si>
  <si>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</si>
  <si>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</si>
  <si>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</si>
  <si>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</si>
  <si>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</si>
  <si>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</si>
  <si>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</si>
  <si>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</si>
  <si>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</si>
  <si>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</si>
  <si>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</si>
  <si>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</si>
  <si>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</si>
  <si>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</si>
  <si>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</si>
  <si>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</si>
  <si>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</si>
  <si>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</si>
  <si>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</si>
  <si>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</si>
  <si>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</si>
  <si>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</si>
  <si>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</si>
  <si>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</si>
  <si>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</si>
  <si>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</si>
  <si>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</si>
  <si>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</si>
  <si>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</si>
  <si>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</si>
  <si>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</si>
  <si>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</si>
  <si>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</si>
  <si>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</si>
  <si>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</si>
  <si>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</si>
  <si>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</si>
  <si>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</si>
  <si>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</si>
  <si>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</si>
  <si>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</si>
  <si>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</si>
  <si>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</si>
  <si>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</si>
  <si>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</si>
  <si>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</si>
  <si>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</si>
  <si>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</si>
  <si>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</si>
  <si>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</si>
  <si>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</si>
  <si>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</si>
  <si>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</si>
  <si>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</si>
  <si>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</si>
  <si>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</si>
  <si>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</si>
  <si>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After School Activities Program revenues from parents.</t>
  </si>
  <si>
    <t xml:space="preserve">The CTE tuition revenue will not match your figure, because it includes a receivable of $12,429.87 for the FY14 CTE </t>
  </si>
  <si>
    <t xml:space="preserve">tuition surcharge (state share) which we will receive in FY15. This was also set up as a payable, because </t>
  </si>
  <si>
    <t>it will be transferred to the trustees to be deposited into a CRF per voter approval.</t>
  </si>
  <si>
    <t>The $4,413.45 difference between our numbers is the difference between last year's surcharge reimbursement</t>
  </si>
  <si>
    <t>of $8,016.42 received in November and this year's surcharge receivable of $12,429.87 (est).</t>
  </si>
  <si>
    <t>White Mountains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</si>
</sst>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6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5" t="s">
        <v>917</v>
      </c>
      <c r="B2" s="21">
        <v>586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1465698.73</v>
      </c>
      <c r="G9" s="18"/>
      <c r="H9" s="18"/>
      <c r="I9" s="18"/>
      <c r="J9" s="66">
        <f>SUM(I439)</f>
        <v>0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158.91</v>
      </c>
      <c r="G10" s="18"/>
      <c r="H10" s="18"/>
      <c r="I10" s="18"/>
      <c r="J10" s="66">
        <f>SUM(I440)</f>
        <v>0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407140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6">
        <f>SUM(I441)</f>
        <v>0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61004.09</v>
      </c>
      <c r="G13" s="18">
        <v>24230.880000000001</v>
      </c>
      <c r="H13" s="18">
        <v>235510.5</v>
      </c>
      <c r="I13" s="18"/>
      <c r="J13" s="66">
        <f>SUM(I442)</f>
        <v>839832.54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4116.63</v>
      </c>
      <c r="G14" s="18">
        <v>702.3</v>
      </c>
      <c r="H14" s="18"/>
      <c r="I14" s="18"/>
      <c r="J14" s="66">
        <f>SUM(I443)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11004.73</v>
      </c>
      <c r="G17" s="18"/>
      <c r="H17" s="18"/>
      <c r="I17" s="18"/>
      <c r="J17" s="66">
        <f>SUM(I444)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4"/>
      <c r="I18" s="18"/>
      <c r="J18" s="66">
        <f>SUM(I445)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1949123.0899999999</v>
      </c>
      <c r="G19" s="41">
        <f>SUM(G9:G18)</f>
        <v>24933.18</v>
      </c>
      <c r="H19" s="41">
        <f>SUM(H9:H18)</f>
        <v>235510.5</v>
      </c>
      <c r="I19" s="41">
        <f>SUM(I9:I18)</f>
        <v>0</v>
      </c>
      <c r="J19" s="41">
        <f>SUM(J9:J18)</f>
        <v>839832.54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-166007.56</v>
      </c>
      <c r="G22" s="18">
        <v>-28931.98</v>
      </c>
      <c r="H22" s="18">
        <v>194939.54</v>
      </c>
      <c r="I22" s="18"/>
      <c r="J22" s="66">
        <f>SUM(I448)</f>
        <v>0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6">
        <f>SUM(I449)</f>
        <v>0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16572.919999999998</v>
      </c>
      <c r="G24" s="18"/>
      <c r="H24" s="18"/>
      <c r="I24" s="18"/>
      <c r="J24" s="66">
        <f>SUM(I450)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4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1092047.23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30245.46</v>
      </c>
      <c r="I30" s="18"/>
      <c r="J30" s="24" t="s">
        <v>289</v>
      </c>
      <c r="K30" s="24" t="s">
        <v>289</v>
      </c>
      <c r="L30" s="24" t="s">
        <v>289</v>
      </c>
      <c r="M30" s="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6">
        <f>SUM(I451)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942612.59</v>
      </c>
      <c r="G32" s="41">
        <f>SUM(G22:G31)</f>
        <v>-28931.98</v>
      </c>
      <c r="H32" s="41">
        <f>SUM(H22:H31)</f>
        <v>225185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1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666194.65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1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53865.16</v>
      </c>
      <c r="H48" s="18">
        <v>10325.5</v>
      </c>
      <c r="I48" s="18"/>
      <c r="J48" s="13">
        <f>SUM(I459)</f>
        <v>839832.54</v>
      </c>
      <c r="K48" s="24" t="s">
        <v>289</v>
      </c>
      <c r="L48" s="24" t="s">
        <v>289</v>
      </c>
      <c r="M48" s="8"/>
      <c r="N48" s="271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856</v>
      </c>
      <c r="B50" s="2" t="s">
        <v>290</v>
      </c>
      <c r="C50" s="70">
        <v>35</v>
      </c>
      <c r="D50" s="2" t="s">
        <v>657</v>
      </c>
      <c r="E50" s="6">
        <v>770</v>
      </c>
      <c r="F50" s="18">
        <v>275315.84999999998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1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1006510.5</v>
      </c>
      <c r="G51" s="41">
        <f>SUM(G35:G50)</f>
        <v>53865.16</v>
      </c>
      <c r="H51" s="41">
        <f>SUM(H35:H50)</f>
        <v>10325.5</v>
      </c>
      <c r="I51" s="41">
        <f>SUM(I35:I50)</f>
        <v>0</v>
      </c>
      <c r="J51" s="41">
        <f>SUM(J35:J50)</f>
        <v>839832.54</v>
      </c>
      <c r="K51" s="45" t="s">
        <v>289</v>
      </c>
      <c r="L51" s="45" t="s">
        <v>289</v>
      </c>
      <c r="N51" s="269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1949123.0899999999</v>
      </c>
      <c r="G52" s="41">
        <f>G51+G32</f>
        <v>24933.180000000004</v>
      </c>
      <c r="H52" s="41">
        <f>H51+H32</f>
        <v>235510.5</v>
      </c>
      <c r="I52" s="41">
        <f>I51+I32</f>
        <v>0</v>
      </c>
      <c r="J52" s="41">
        <f>J51+J32</f>
        <v>839832.54</v>
      </c>
      <c r="K52" s="45" t="s">
        <v>289</v>
      </c>
      <c r="L52" s="45" t="s">
        <v>289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1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1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1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7906130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1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1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2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7906130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2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550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1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2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1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17233.95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56868.15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358541.11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33075.49</v>
      </c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1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15528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69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481796.69999999995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1"/>
    </row>
    <row r="81" spans="1:14" s="3" customFormat="1" ht="12" customHeight="1" x14ac:dyDescent="0.2">
      <c r="A81" s="169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1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1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1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1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1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4059.35</v>
      </c>
      <c r="G96" s="18"/>
      <c r="H96" s="18"/>
      <c r="I96" s="18"/>
      <c r="J96" s="18">
        <v>6514.94</v>
      </c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178463.76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4576</v>
      </c>
      <c r="G98" s="24" t="s">
        <v>289</v>
      </c>
      <c r="H98" s="18">
        <v>9138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1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1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6206.32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1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12001.93</v>
      </c>
      <c r="G110" s="18"/>
      <c r="H110" s="18">
        <v>18861.68</v>
      </c>
      <c r="I110" s="18"/>
      <c r="J110" s="18">
        <v>27293.37</v>
      </c>
      <c r="K110" s="24" t="s">
        <v>289</v>
      </c>
      <c r="L110" s="24" t="s">
        <v>289</v>
      </c>
      <c r="M110" s="8"/>
      <c r="N110" s="271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26843.599999999999</v>
      </c>
      <c r="G111" s="41">
        <f>SUM(G96:G110)</f>
        <v>178463.76</v>
      </c>
      <c r="H111" s="41">
        <f>SUM(H96:H110)</f>
        <v>27999.68</v>
      </c>
      <c r="I111" s="41">
        <f>SUM(I96:I110)</f>
        <v>0</v>
      </c>
      <c r="J111" s="41">
        <f>SUM(J96:J110)</f>
        <v>33808.31</v>
      </c>
      <c r="K111" s="45" t="s">
        <v>289</v>
      </c>
      <c r="L111" s="45" t="s">
        <v>289</v>
      </c>
      <c r="N111" s="269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8414770.3000000007</v>
      </c>
      <c r="G112" s="41">
        <f>G60+G111</f>
        <v>178463.76</v>
      </c>
      <c r="H112" s="41">
        <f>H60+H79+H94+H111</f>
        <v>27999.68</v>
      </c>
      <c r="I112" s="41">
        <f>I60+I111</f>
        <v>0</v>
      </c>
      <c r="J112" s="41">
        <f>J60+J111</f>
        <v>33808.31</v>
      </c>
      <c r="K112" s="45" t="s">
        <v>289</v>
      </c>
      <c r="L112" s="45" t="s">
        <v>289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6753101.96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2176135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1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1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8929236.9600000009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1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2105.7399999999998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1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27155.94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65217.38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8982.4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1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6238.24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1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1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103461.45999999999</v>
      </c>
      <c r="G136" s="41">
        <f>SUM(G123:G135)</f>
        <v>6238.24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1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1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9032698.4200000018</v>
      </c>
      <c r="G140" s="41">
        <f>G121+SUM(G136:G137)</f>
        <v>6238.24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1"/>
    </row>
    <row r="141" spans="1:14" s="3" customFormat="1" ht="12" customHeight="1" x14ac:dyDescent="0.2">
      <c r="A141" s="69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1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1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1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1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405439.6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93946.13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1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85184.43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273">
        <v>357213.67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305016.05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53385.53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42033.24</v>
      </c>
      <c r="I161" s="18"/>
      <c r="J161" s="24" t="s">
        <v>289</v>
      </c>
      <c r="K161" s="24" t="s">
        <v>289</v>
      </c>
      <c r="L161" s="24" t="s">
        <v>289</v>
      </c>
      <c r="M161" s="8"/>
      <c r="N161" s="271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53385.53</v>
      </c>
      <c r="G162" s="41">
        <f>SUM(G150:G161)</f>
        <v>357213.67</v>
      </c>
      <c r="H162" s="41">
        <f>SUM(H150:H161)</f>
        <v>931619.45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1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1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24072.04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1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1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77457.570000000007</v>
      </c>
      <c r="G169" s="41">
        <f>G147+G162+SUM(G163:G168)</f>
        <v>357213.67</v>
      </c>
      <c r="H169" s="41">
        <f>H147+H162+SUM(H163:H168)</f>
        <v>931619.45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1"/>
    </row>
    <row r="170" spans="1:14" s="3" customFormat="1" ht="12" customHeight="1" x14ac:dyDescent="0.2">
      <c r="A170" s="69"/>
      <c r="B170" s="36"/>
      <c r="C170" s="74"/>
      <c r="D170" s="74"/>
      <c r="E170" s="74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1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1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4123</v>
      </c>
      <c r="H179" s="18"/>
      <c r="I179" s="18"/>
      <c r="J179" s="18">
        <v>16572.919999999998</v>
      </c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1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45616.61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1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1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45616.61</v>
      </c>
      <c r="G183" s="41">
        <f>SUM(G179:G182)</f>
        <v>4123</v>
      </c>
      <c r="H183" s="41">
        <f>SUM(H179:H182)</f>
        <v>0</v>
      </c>
      <c r="I183" s="41">
        <f>SUM(I179:I182)</f>
        <v>0</v>
      </c>
      <c r="J183" s="41">
        <f>SUM(J179:J182)</f>
        <v>16572.919999999998</v>
      </c>
      <c r="K183" s="45" t="s">
        <v>289</v>
      </c>
      <c r="L183" s="45" t="s">
        <v>289</v>
      </c>
      <c r="M183" s="8"/>
      <c r="N183" s="271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1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69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9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1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5" t="s">
        <v>431</v>
      </c>
      <c r="E192" s="51">
        <v>5000</v>
      </c>
      <c r="F192" s="41">
        <f>F177+F183+SUM(F188:F191)</f>
        <v>45616.61</v>
      </c>
      <c r="G192" s="41">
        <f>G183+SUM(G188:G191)</f>
        <v>4123</v>
      </c>
      <c r="H192" s="41">
        <f>+H183+SUM(H188:H191)</f>
        <v>0</v>
      </c>
      <c r="I192" s="41">
        <f>I177+I183+SUM(I188:I191)</f>
        <v>0</v>
      </c>
      <c r="J192" s="41">
        <f>J183</f>
        <v>16572.919999999998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6" t="s">
        <v>431</v>
      </c>
      <c r="E193" s="44"/>
      <c r="F193" s="47">
        <f>F112+F140+F169+F192</f>
        <v>17570542.900000002</v>
      </c>
      <c r="G193" s="47">
        <f>G112+G140+G169+G192</f>
        <v>546038.66999999993</v>
      </c>
      <c r="H193" s="47">
        <f>H112+H140+H169+H192</f>
        <v>959619.13</v>
      </c>
      <c r="I193" s="47">
        <f>I112+I140+I169+I192</f>
        <v>0</v>
      </c>
      <c r="J193" s="47">
        <f>J112+J140+J192</f>
        <v>50381.229999999996</v>
      </c>
      <c r="K193" s="45" t="s">
        <v>289</v>
      </c>
      <c r="L193" s="45" t="s">
        <v>289</v>
      </c>
      <c r="M193" s="8"/>
      <c r="N193" s="271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71"/>
    </row>
    <row r="195" spans="1:14" s="3" customFormat="1" ht="12" customHeight="1" x14ac:dyDescent="0.15">
      <c r="A195" s="29" t="s">
        <v>452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71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1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2657030.4900000002</v>
      </c>
      <c r="G197" s="18">
        <v>1447241.73</v>
      </c>
      <c r="H197" s="18">
        <v>81230.8</v>
      </c>
      <c r="I197" s="18">
        <v>154944.18</v>
      </c>
      <c r="J197" s="18">
        <v>37464.800000000003</v>
      </c>
      <c r="K197" s="18">
        <v>26763.41</v>
      </c>
      <c r="L197" s="19">
        <f>SUM(F197:K197)</f>
        <v>4404675.41</v>
      </c>
      <c r="M197" s="8"/>
      <c r="N197" s="271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991329.83</v>
      </c>
      <c r="G198" s="18">
        <v>518453.72</v>
      </c>
      <c r="H198" s="18">
        <v>137312.41</v>
      </c>
      <c r="I198" s="18">
        <v>12011.06</v>
      </c>
      <c r="J198" s="18">
        <v>795.73</v>
      </c>
      <c r="K198" s="18">
        <v>286</v>
      </c>
      <c r="L198" s="19">
        <f>SUM(F198:K198)</f>
        <v>1660188.7499999998</v>
      </c>
      <c r="M198" s="8"/>
      <c r="N198" s="271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98946.35</v>
      </c>
      <c r="G200" s="18">
        <v>13372.72</v>
      </c>
      <c r="H200" s="18">
        <v>12070.5</v>
      </c>
      <c r="I200" s="18">
        <v>13893.27</v>
      </c>
      <c r="J200" s="18">
        <v>545.5</v>
      </c>
      <c r="K200" s="18">
        <v>3371</v>
      </c>
      <c r="L200" s="19">
        <f>SUM(F200:K200)</f>
        <v>142199.34</v>
      </c>
      <c r="M200" s="8"/>
      <c r="N200" s="271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1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577926.39</v>
      </c>
      <c r="G202" s="18">
        <v>271075.99</v>
      </c>
      <c r="H202" s="18">
        <v>15428.5</v>
      </c>
      <c r="I202" s="18">
        <v>10079.14</v>
      </c>
      <c r="J202" s="18">
        <v>1088.22</v>
      </c>
      <c r="K202" s="18">
        <v>278</v>
      </c>
      <c r="L202" s="19">
        <f t="shared" ref="L202:L208" si="0">SUM(F202:K202)</f>
        <v>875876.24</v>
      </c>
      <c r="M202" s="8"/>
      <c r="N202" s="271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82692.38</v>
      </c>
      <c r="G203" s="18">
        <v>54091.86</v>
      </c>
      <c r="H203" s="18">
        <v>48911.31</v>
      </c>
      <c r="I203" s="18">
        <v>17194.509999999998</v>
      </c>
      <c r="J203" s="18">
        <v>2910.63</v>
      </c>
      <c r="K203" s="18">
        <v>2815.95</v>
      </c>
      <c r="L203" s="19">
        <f t="shared" si="0"/>
        <v>208616.64</v>
      </c>
      <c r="M203" s="8"/>
      <c r="N203" s="271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335724.69</v>
      </c>
      <c r="G204" s="18">
        <v>104907.4</v>
      </c>
      <c r="H204" s="18">
        <v>98748.57</v>
      </c>
      <c r="I204" s="18">
        <v>116592.93</v>
      </c>
      <c r="J204" s="18">
        <v>930.84</v>
      </c>
      <c r="K204" s="18">
        <v>24194.58</v>
      </c>
      <c r="L204" s="19">
        <f t="shared" si="0"/>
        <v>681099.00999999978</v>
      </c>
      <c r="M204" s="8"/>
      <c r="N204" s="271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526237.66</v>
      </c>
      <c r="G205" s="18">
        <v>265416.78999999998</v>
      </c>
      <c r="H205" s="18">
        <v>49208.83</v>
      </c>
      <c r="I205" s="18">
        <v>5748.51</v>
      </c>
      <c r="J205" s="18">
        <v>11898.78</v>
      </c>
      <c r="K205" s="18">
        <v>13795.8</v>
      </c>
      <c r="L205" s="19">
        <f t="shared" si="0"/>
        <v>872306.37</v>
      </c>
      <c r="M205" s="8"/>
      <c r="N205" s="271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89753.46</v>
      </c>
      <c r="G206" s="18">
        <v>49441.31</v>
      </c>
      <c r="H206" s="18">
        <v>3948.06</v>
      </c>
      <c r="I206" s="18"/>
      <c r="J206" s="18"/>
      <c r="K206" s="18">
        <v>201</v>
      </c>
      <c r="L206" s="19">
        <f t="shared" si="0"/>
        <v>143343.83000000002</v>
      </c>
      <c r="M206" s="8"/>
      <c r="N206" s="271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360003.57</v>
      </c>
      <c r="G207" s="18">
        <v>172854.87</v>
      </c>
      <c r="H207" s="18">
        <v>323754.28000000003</v>
      </c>
      <c r="I207" s="18">
        <v>307077.40999999997</v>
      </c>
      <c r="J207" s="18">
        <v>8284.73</v>
      </c>
      <c r="K207" s="18">
        <v>0</v>
      </c>
      <c r="L207" s="19">
        <f t="shared" si="0"/>
        <v>1171974.8599999999</v>
      </c>
      <c r="M207" s="8"/>
      <c r="N207" s="271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16531.98</v>
      </c>
      <c r="G208" s="18">
        <v>7179.36</v>
      </c>
      <c r="H208" s="18">
        <v>637730.06000000006</v>
      </c>
      <c r="I208" s="18">
        <v>4269.51</v>
      </c>
      <c r="J208" s="18"/>
      <c r="K208" s="18"/>
      <c r="L208" s="19">
        <f t="shared" si="0"/>
        <v>665710.91</v>
      </c>
      <c r="M208" s="8"/>
      <c r="N208" s="271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1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1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5736176.8000000017</v>
      </c>
      <c r="G211" s="41">
        <f t="shared" si="1"/>
        <v>2904035.75</v>
      </c>
      <c r="H211" s="41">
        <f t="shared" si="1"/>
        <v>1408343.32</v>
      </c>
      <c r="I211" s="41">
        <f t="shared" si="1"/>
        <v>641810.52</v>
      </c>
      <c r="J211" s="41">
        <f t="shared" si="1"/>
        <v>63919.229999999996</v>
      </c>
      <c r="K211" s="41">
        <f t="shared" si="1"/>
        <v>71705.740000000005</v>
      </c>
      <c r="L211" s="41">
        <f t="shared" si="1"/>
        <v>10825991.359999999</v>
      </c>
      <c r="M211" s="8"/>
      <c r="N211" s="271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6"/>
      <c r="M212" s="8"/>
      <c r="N212" s="271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71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1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1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1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1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1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1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1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1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1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1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1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1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1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1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1"/>
    </row>
    <row r="230" spans="1:14" s="3" customFormat="1" ht="12" customHeight="1" x14ac:dyDescent="0.15">
      <c r="A230" s="55" t="s">
        <v>466</v>
      </c>
      <c r="B230" s="36"/>
      <c r="C230" s="74"/>
      <c r="D230" s="74"/>
      <c r="E230" s="74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6"/>
      <c r="M230" s="8"/>
      <c r="N230" s="271"/>
    </row>
    <row r="231" spans="1:14" s="3" customFormat="1" ht="12" customHeight="1" x14ac:dyDescent="0.15">
      <c r="A231" s="29" t="s">
        <v>454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1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1248230.3799999999</v>
      </c>
      <c r="G233" s="18">
        <v>606040.96</v>
      </c>
      <c r="H233" s="18">
        <v>34646.11</v>
      </c>
      <c r="I233" s="18">
        <v>48116.07</v>
      </c>
      <c r="J233" s="18">
        <v>68822.92</v>
      </c>
      <c r="K233" s="18">
        <v>14496.58</v>
      </c>
      <c r="L233" s="19">
        <f>SUM(F233:K233)</f>
        <v>2020353.02</v>
      </c>
      <c r="M233" s="8"/>
      <c r="N233" s="271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370721.07</v>
      </c>
      <c r="G234" s="18">
        <v>194021.51</v>
      </c>
      <c r="H234" s="18">
        <v>67421.42</v>
      </c>
      <c r="I234" s="18">
        <v>3378.16</v>
      </c>
      <c r="J234" s="18">
        <v>62.93</v>
      </c>
      <c r="K234" s="18"/>
      <c r="L234" s="19">
        <f>SUM(F234:K234)</f>
        <v>635605.0900000002</v>
      </c>
      <c r="M234" s="8"/>
      <c r="N234" s="271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230462.07999999999</v>
      </c>
      <c r="G235" s="18">
        <v>101732.3</v>
      </c>
      <c r="H235" s="18">
        <v>12070.67</v>
      </c>
      <c r="I235" s="18">
        <v>81783.509999999995</v>
      </c>
      <c r="J235" s="18">
        <v>3344.12</v>
      </c>
      <c r="K235" s="18">
        <v>1024</v>
      </c>
      <c r="L235" s="19">
        <f>SUM(F235:K235)</f>
        <v>430416.68</v>
      </c>
      <c r="M235" s="8"/>
      <c r="N235" s="271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208125.12</v>
      </c>
      <c r="G236" s="18">
        <v>57542.91</v>
      </c>
      <c r="H236" s="18">
        <v>22416.11</v>
      </c>
      <c r="I236" s="18">
        <v>23046.06</v>
      </c>
      <c r="J236" s="18">
        <v>3857.12</v>
      </c>
      <c r="K236" s="18">
        <v>11606.49</v>
      </c>
      <c r="L236" s="19">
        <f>SUM(F236:K236)</f>
        <v>326593.81</v>
      </c>
      <c r="M236" s="8"/>
      <c r="N236" s="271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1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292967.67</v>
      </c>
      <c r="G238" s="18">
        <v>146110.74</v>
      </c>
      <c r="H238" s="18">
        <v>19051.400000000001</v>
      </c>
      <c r="I238" s="18">
        <v>4619.63</v>
      </c>
      <c r="J238" s="18">
        <v>637.99</v>
      </c>
      <c r="K238" s="18">
        <v>2657</v>
      </c>
      <c r="L238" s="19">
        <f t="shared" ref="L238:L244" si="4">SUM(F238:K238)</f>
        <v>466044.43</v>
      </c>
      <c r="M238" s="8"/>
      <c r="N238" s="271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65679.149999999994</v>
      </c>
      <c r="G239" s="18">
        <v>55176.91</v>
      </c>
      <c r="H239" s="18">
        <v>23732.78</v>
      </c>
      <c r="I239" s="18">
        <v>14430.36</v>
      </c>
      <c r="J239" s="18"/>
      <c r="K239" s="18">
        <v>4983.2</v>
      </c>
      <c r="L239" s="19">
        <f t="shared" si="4"/>
        <v>164002.40000000002</v>
      </c>
      <c r="M239" s="8"/>
      <c r="N239" s="271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288029.52</v>
      </c>
      <c r="G240" s="18">
        <v>111638.15</v>
      </c>
      <c r="H240" s="18">
        <v>83679.38</v>
      </c>
      <c r="I240" s="18">
        <v>57803.97</v>
      </c>
      <c r="J240" s="18">
        <v>458.48</v>
      </c>
      <c r="K240" s="18">
        <v>12385.37</v>
      </c>
      <c r="L240" s="19">
        <f t="shared" si="4"/>
        <v>553994.87</v>
      </c>
      <c r="M240" s="8"/>
      <c r="N240" s="271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209420.2</v>
      </c>
      <c r="G241" s="18">
        <v>116098.87</v>
      </c>
      <c r="H241" s="18">
        <v>52379.6</v>
      </c>
      <c r="I241" s="18">
        <v>15387.46</v>
      </c>
      <c r="J241" s="18">
        <v>20261.86</v>
      </c>
      <c r="K241" s="18">
        <v>30456.11</v>
      </c>
      <c r="L241" s="19">
        <f t="shared" si="4"/>
        <v>444004.1</v>
      </c>
      <c r="M241" s="8"/>
      <c r="N241" s="271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44206.93</v>
      </c>
      <c r="G242" s="18">
        <v>24351.69</v>
      </c>
      <c r="H242" s="18">
        <v>1944.56</v>
      </c>
      <c r="I242" s="18"/>
      <c r="J242" s="18"/>
      <c r="K242" s="18">
        <v>99</v>
      </c>
      <c r="L242" s="19">
        <f t="shared" si="4"/>
        <v>70602.179999999993</v>
      </c>
      <c r="M242" s="8"/>
      <c r="N242" s="271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224405.6</v>
      </c>
      <c r="G243" s="18">
        <v>87817.59</v>
      </c>
      <c r="H243" s="18">
        <v>246033.39</v>
      </c>
      <c r="I243" s="18">
        <v>254297.84</v>
      </c>
      <c r="J243" s="18">
        <v>5056.0200000000004</v>
      </c>
      <c r="K243" s="18">
        <v>0</v>
      </c>
      <c r="L243" s="19">
        <f t="shared" si="4"/>
        <v>817610.44000000006</v>
      </c>
      <c r="M243" s="8"/>
      <c r="N243" s="271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7938.44</v>
      </c>
      <c r="G244" s="18">
        <v>3520.5</v>
      </c>
      <c r="H244" s="18">
        <v>405662.15</v>
      </c>
      <c r="I244" s="18">
        <v>2014.66</v>
      </c>
      <c r="J244" s="18"/>
      <c r="K244" s="18"/>
      <c r="L244" s="19">
        <f t="shared" si="4"/>
        <v>419135.75</v>
      </c>
      <c r="M244" s="8"/>
      <c r="N244" s="271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1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1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3190186.16</v>
      </c>
      <c r="G247" s="41">
        <f t="shared" si="5"/>
        <v>1504052.1299999997</v>
      </c>
      <c r="H247" s="41">
        <f t="shared" si="5"/>
        <v>969037.57</v>
      </c>
      <c r="I247" s="41">
        <f t="shared" si="5"/>
        <v>504877.71999999991</v>
      </c>
      <c r="J247" s="41">
        <f t="shared" si="5"/>
        <v>102501.43999999999</v>
      </c>
      <c r="K247" s="41">
        <f t="shared" si="5"/>
        <v>77707.75</v>
      </c>
      <c r="L247" s="41">
        <f t="shared" si="5"/>
        <v>6348362.7700000005</v>
      </c>
      <c r="M247" s="8"/>
      <c r="N247" s="271"/>
    </row>
    <row r="248" spans="1:14" s="3" customFormat="1" ht="12" customHeight="1" x14ac:dyDescent="0.15">
      <c r="A248" s="69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6"/>
      <c r="M248" s="8"/>
      <c r="N248" s="271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71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10149.129999999999</v>
      </c>
      <c r="G251" s="18">
        <v>757.23</v>
      </c>
      <c r="H251" s="18"/>
      <c r="I251" s="18"/>
      <c r="J251" s="18"/>
      <c r="K251" s="18"/>
      <c r="L251" s="19">
        <f t="shared" si="6"/>
        <v>10906.359999999999</v>
      </c>
      <c r="M251" s="8"/>
      <c r="N251" s="271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17403.79</v>
      </c>
      <c r="I255" s="18"/>
      <c r="J255" s="18"/>
      <c r="K255" s="18"/>
      <c r="L255" s="19">
        <f t="shared" si="6"/>
        <v>17403.79</v>
      </c>
      <c r="M255" s="8"/>
      <c r="N255" s="271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10149.129999999999</v>
      </c>
      <c r="G256" s="41">
        <f t="shared" si="7"/>
        <v>757.23</v>
      </c>
      <c r="H256" s="41">
        <f t="shared" si="7"/>
        <v>17403.79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28310.15</v>
      </c>
      <c r="M256" s="8"/>
      <c r="N256" s="271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8936512.0900000017</v>
      </c>
      <c r="G257" s="41">
        <f t="shared" si="8"/>
        <v>4408845.1100000003</v>
      </c>
      <c r="H257" s="41">
        <f t="shared" si="8"/>
        <v>2394784.6800000002</v>
      </c>
      <c r="I257" s="41">
        <f t="shared" si="8"/>
        <v>1146688.24</v>
      </c>
      <c r="J257" s="41">
        <f t="shared" si="8"/>
        <v>166420.66999999998</v>
      </c>
      <c r="K257" s="41">
        <f t="shared" si="8"/>
        <v>149413.49</v>
      </c>
      <c r="L257" s="41">
        <f t="shared" si="8"/>
        <v>17202664.279999997</v>
      </c>
      <c r="M257" s="8"/>
      <c r="N257" s="271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1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1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1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69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9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4123</v>
      </c>
      <c r="L263" s="19">
        <f>SUM(F263:K263)</f>
        <v>4123</v>
      </c>
      <c r="N263" s="269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69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16572.919999999998</v>
      </c>
      <c r="L266" s="19">
        <f t="shared" si="9"/>
        <v>16572.919999999998</v>
      </c>
      <c r="N266" s="269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9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56640.6</v>
      </c>
      <c r="L268" s="19">
        <f t="shared" si="9"/>
        <v>56640.6</v>
      </c>
      <c r="N268" s="269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69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77336.51999999999</v>
      </c>
      <c r="L270" s="41">
        <f t="shared" si="9"/>
        <v>77336.51999999999</v>
      </c>
      <c r="N270" s="269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8936512.0900000017</v>
      </c>
      <c r="G271" s="42">
        <f t="shared" si="11"/>
        <v>4408845.1100000003</v>
      </c>
      <c r="H271" s="42">
        <f t="shared" si="11"/>
        <v>2394784.6800000002</v>
      </c>
      <c r="I271" s="42">
        <f t="shared" si="11"/>
        <v>1146688.24</v>
      </c>
      <c r="J271" s="42">
        <f t="shared" si="11"/>
        <v>166420.66999999998</v>
      </c>
      <c r="K271" s="42">
        <f t="shared" si="11"/>
        <v>226750.00999999998</v>
      </c>
      <c r="L271" s="42">
        <f t="shared" si="11"/>
        <v>17280000.799999997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71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1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2233.4</v>
      </c>
      <c r="G276" s="144">
        <v>381.29</v>
      </c>
      <c r="H276" s="18"/>
      <c r="I276" s="18">
        <v>37648.699999999997</v>
      </c>
      <c r="J276" s="18"/>
      <c r="K276" s="18">
        <v>2500</v>
      </c>
      <c r="L276" s="19">
        <f>SUM(F276:K276)</f>
        <v>42763.39</v>
      </c>
      <c r="M276" s="8"/>
      <c r="N276" s="271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178397.06</v>
      </c>
      <c r="G277" s="144">
        <v>74527.39</v>
      </c>
      <c r="H277" s="18">
        <v>23239.88</v>
      </c>
      <c r="I277" s="18">
        <v>103415.89</v>
      </c>
      <c r="J277" s="18">
        <v>12457.23</v>
      </c>
      <c r="K277" s="18"/>
      <c r="L277" s="19">
        <f>SUM(F277:K277)</f>
        <v>392037.45</v>
      </c>
      <c r="M277" s="8"/>
      <c r="N277" s="271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>
        <v>86.08</v>
      </c>
      <c r="J279" s="18"/>
      <c r="K279" s="18"/>
      <c r="L279" s="19">
        <f>SUM(F279:K279)</f>
        <v>86.08</v>
      </c>
      <c r="M279" s="8"/>
      <c r="N279" s="271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1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73600.570000000007</v>
      </c>
      <c r="G281" s="144">
        <v>34177.19</v>
      </c>
      <c r="H281" s="18">
        <v>47296.11</v>
      </c>
      <c r="I281" s="18"/>
      <c r="J281" s="18"/>
      <c r="K281" s="18"/>
      <c r="L281" s="19">
        <f t="shared" ref="L281:L287" si="12">SUM(F281:K281)</f>
        <v>155073.87</v>
      </c>
      <c r="M281" s="8"/>
      <c r="N281" s="271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64424.28</v>
      </c>
      <c r="I282" s="18">
        <v>3436.13</v>
      </c>
      <c r="J282" s="18">
        <v>3000</v>
      </c>
      <c r="K282" s="18">
        <v>2118.54</v>
      </c>
      <c r="L282" s="19">
        <f t="shared" si="12"/>
        <v>72978.95</v>
      </c>
      <c r="M282" s="8"/>
      <c r="N282" s="271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14291.64</v>
      </c>
      <c r="G283" s="144">
        <v>6517.22</v>
      </c>
      <c r="H283" s="18"/>
      <c r="I283" s="18"/>
      <c r="J283" s="18"/>
      <c r="K283" s="18"/>
      <c r="L283" s="19">
        <f t="shared" si="12"/>
        <v>20808.86</v>
      </c>
      <c r="M283" s="8"/>
      <c r="N283" s="271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1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1875</v>
      </c>
      <c r="G288" s="144">
        <v>143.46</v>
      </c>
      <c r="H288" s="18">
        <v>1520.84</v>
      </c>
      <c r="I288" s="18">
        <v>409.45</v>
      </c>
      <c r="J288" s="18"/>
      <c r="K288" s="18"/>
      <c r="L288" s="19">
        <f>SUM(F288:K288)</f>
        <v>3948.75</v>
      </c>
      <c r="M288" s="8"/>
      <c r="N288" s="271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1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270397.67</v>
      </c>
      <c r="G290" s="42">
        <f t="shared" si="13"/>
        <v>115746.55</v>
      </c>
      <c r="H290" s="42">
        <f t="shared" si="13"/>
        <v>136481.11000000002</v>
      </c>
      <c r="I290" s="42">
        <f t="shared" si="13"/>
        <v>144996.25</v>
      </c>
      <c r="J290" s="42">
        <f t="shared" si="13"/>
        <v>15457.23</v>
      </c>
      <c r="K290" s="42">
        <f t="shared" si="13"/>
        <v>4618.54</v>
      </c>
      <c r="L290" s="41">
        <f t="shared" si="13"/>
        <v>687697.35</v>
      </c>
      <c r="M290" s="8"/>
      <c r="N290" s="271"/>
    </row>
    <row r="291" spans="1:14" s="3" customFormat="1" ht="1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71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71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1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1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1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1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1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1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1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1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1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9"/>
    </row>
    <row r="310" spans="1:14" s="3" customFormat="1" ht="1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71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71"/>
    </row>
    <row r="312" spans="1:14" s="3" customFormat="1" ht="12" customHeight="1" x14ac:dyDescent="0.15">
      <c r="A312" s="29" t="s">
        <v>454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1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16474.68</v>
      </c>
      <c r="G314" s="18">
        <v>7706.51</v>
      </c>
      <c r="H314" s="18"/>
      <c r="I314" s="18"/>
      <c r="J314" s="18"/>
      <c r="K314" s="18"/>
      <c r="L314" s="19">
        <f>SUM(F314:K314)</f>
        <v>24181.190000000002</v>
      </c>
      <c r="M314" s="8"/>
      <c r="N314" s="271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1838.35</v>
      </c>
      <c r="G315" s="18">
        <v>1114.68</v>
      </c>
      <c r="H315" s="18">
        <v>1002.21</v>
      </c>
      <c r="I315" s="18"/>
      <c r="J315" s="18"/>
      <c r="K315" s="18"/>
      <c r="L315" s="19">
        <f>SUM(F315:K315)</f>
        <v>3955.24</v>
      </c>
      <c r="M315" s="8"/>
      <c r="N315" s="271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46432.95</v>
      </c>
      <c r="G316" s="18">
        <v>16794.990000000002</v>
      </c>
      <c r="H316" s="18">
        <v>5435.92</v>
      </c>
      <c r="I316" s="18">
        <v>9932.18</v>
      </c>
      <c r="J316" s="18">
        <v>3917.87</v>
      </c>
      <c r="K316" s="18">
        <v>1505</v>
      </c>
      <c r="L316" s="19">
        <f>SUM(F316:K316)</f>
        <v>84018.91</v>
      </c>
      <c r="M316" s="8"/>
      <c r="N316" s="271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124</v>
      </c>
      <c r="G317" s="18"/>
      <c r="H317" s="18">
        <v>1133.6500000000001</v>
      </c>
      <c r="I317" s="18">
        <v>711.14</v>
      </c>
      <c r="J317" s="18"/>
      <c r="K317" s="18">
        <v>35</v>
      </c>
      <c r="L317" s="19">
        <f>SUM(F317:K317)</f>
        <v>2003.79</v>
      </c>
      <c r="M317" s="8"/>
      <c r="N317" s="271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1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36251.03</v>
      </c>
      <c r="G319" s="18">
        <v>16833.54</v>
      </c>
      <c r="H319" s="18">
        <v>17142.93</v>
      </c>
      <c r="I319" s="18">
        <v>4758.6099999999997</v>
      </c>
      <c r="J319" s="18"/>
      <c r="K319" s="18">
        <v>3050</v>
      </c>
      <c r="L319" s="19">
        <f t="shared" ref="L319:L325" si="16">SUM(F319:K319)</f>
        <v>78036.11</v>
      </c>
      <c r="M319" s="8"/>
      <c r="N319" s="271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v>30828.799999999999</v>
      </c>
      <c r="I320" s="18"/>
      <c r="J320" s="18"/>
      <c r="K320" s="18">
        <v>2630.78</v>
      </c>
      <c r="L320" s="19">
        <f t="shared" si="16"/>
        <v>33459.58</v>
      </c>
      <c r="M320" s="8"/>
      <c r="N320" s="271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>
        <v>20.350000000000001</v>
      </c>
      <c r="H321" s="18"/>
      <c r="I321" s="18"/>
      <c r="J321" s="18"/>
      <c r="K321" s="18"/>
      <c r="L321" s="19">
        <f t="shared" si="16"/>
        <v>20.350000000000001</v>
      </c>
      <c r="M321" s="8"/>
      <c r="N321" s="271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1061.73</v>
      </c>
      <c r="I325" s="18"/>
      <c r="J325" s="18"/>
      <c r="K325" s="18"/>
      <c r="L325" s="19">
        <f t="shared" si="16"/>
        <v>1061.73</v>
      </c>
      <c r="M325" s="8"/>
      <c r="N325" s="271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1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101121.01</v>
      </c>
      <c r="G328" s="42">
        <f t="shared" si="17"/>
        <v>42470.07</v>
      </c>
      <c r="H328" s="42">
        <f t="shared" si="17"/>
        <v>56605.24</v>
      </c>
      <c r="I328" s="42">
        <f t="shared" si="17"/>
        <v>15401.93</v>
      </c>
      <c r="J328" s="42">
        <f t="shared" si="17"/>
        <v>3917.87</v>
      </c>
      <c r="K328" s="42">
        <f t="shared" si="17"/>
        <v>7220.7800000000007</v>
      </c>
      <c r="L328" s="41">
        <f t="shared" si="17"/>
        <v>226736.90000000002</v>
      </c>
      <c r="M328" s="8"/>
      <c r="N328" s="271"/>
    </row>
    <row r="329" spans="1:14" s="3" customFormat="1" ht="1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71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71"/>
    </row>
    <row r="331" spans="1:14" s="3" customFormat="1" ht="12" customHeight="1" x14ac:dyDescent="0.15">
      <c r="A331" s="29" t="s">
        <v>362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71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371518.68</v>
      </c>
      <c r="G338" s="41">
        <f t="shared" si="20"/>
        <v>158216.62</v>
      </c>
      <c r="H338" s="41">
        <f t="shared" si="20"/>
        <v>193086.35</v>
      </c>
      <c r="I338" s="41">
        <f t="shared" si="20"/>
        <v>160398.18</v>
      </c>
      <c r="J338" s="41">
        <f t="shared" si="20"/>
        <v>19375.099999999999</v>
      </c>
      <c r="K338" s="41">
        <f t="shared" si="20"/>
        <v>11839.32</v>
      </c>
      <c r="L338" s="41">
        <f t="shared" si="20"/>
        <v>914434.25</v>
      </c>
      <c r="M338" s="8"/>
      <c r="N338" s="271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1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45616.61</v>
      </c>
      <c r="L344" s="19">
        <f t="shared" ref="L344:L350" si="21">SUM(F344:K344)</f>
        <v>45616.61</v>
      </c>
      <c r="M344" s="8"/>
      <c r="N344" s="271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1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45616.61</v>
      </c>
      <c r="L351" s="41">
        <f>SUM(L341:L350)</f>
        <v>45616.61</v>
      </c>
      <c r="M351" s="8"/>
      <c r="N351" s="271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371518.68</v>
      </c>
      <c r="G352" s="41">
        <f>G338</f>
        <v>158216.62</v>
      </c>
      <c r="H352" s="41">
        <f>H338</f>
        <v>193086.35</v>
      </c>
      <c r="I352" s="41">
        <f>I338</f>
        <v>160398.18</v>
      </c>
      <c r="J352" s="41">
        <f>J338</f>
        <v>19375.099999999999</v>
      </c>
      <c r="K352" s="47">
        <f>K338+K351</f>
        <v>57455.93</v>
      </c>
      <c r="L352" s="41">
        <f>L338+L351</f>
        <v>960050.86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71"/>
    </row>
    <row r="355" spans="1:22" s="3" customFormat="1" ht="12" customHeight="1" x14ac:dyDescent="0.15">
      <c r="A355" s="29" t="s">
        <v>282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71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1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134421.89000000001</v>
      </c>
      <c r="G358" s="18">
        <v>75525.31</v>
      </c>
      <c r="H358" s="18">
        <v>962.9</v>
      </c>
      <c r="I358" s="274">
        <v>161680.49</v>
      </c>
      <c r="J358" s="18">
        <v>740.39</v>
      </c>
      <c r="K358" s="18">
        <v>2595.62</v>
      </c>
      <c r="L358" s="13">
        <f>SUM(F358:K358)</f>
        <v>375926.6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274"/>
      <c r="J359" s="18"/>
      <c r="K359" s="18"/>
      <c r="L359" s="19">
        <f>SUM(F359:K359)</f>
        <v>0</v>
      </c>
      <c r="M359" s="8"/>
      <c r="N359" s="271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55193.49</v>
      </c>
      <c r="G360" s="18">
        <v>28469.73</v>
      </c>
      <c r="H360" s="18">
        <v>581.64</v>
      </c>
      <c r="I360" s="274">
        <v>82068.25</v>
      </c>
      <c r="J360" s="18">
        <v>5934.68</v>
      </c>
      <c r="K360" s="18">
        <v>1427.9</v>
      </c>
      <c r="L360" s="19">
        <f>SUM(F360:K360)</f>
        <v>173675.68999999997</v>
      </c>
      <c r="M360" s="8"/>
      <c r="N360" s="271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189615.38</v>
      </c>
      <c r="G362" s="47">
        <f t="shared" si="22"/>
        <v>103995.04</v>
      </c>
      <c r="H362" s="47">
        <f t="shared" si="22"/>
        <v>1544.54</v>
      </c>
      <c r="I362" s="47">
        <f t="shared" si="22"/>
        <v>243748.74</v>
      </c>
      <c r="J362" s="47">
        <f t="shared" si="22"/>
        <v>6675.0700000000006</v>
      </c>
      <c r="K362" s="47">
        <f t="shared" si="22"/>
        <v>4023.52</v>
      </c>
      <c r="L362" s="47">
        <f t="shared" si="22"/>
        <v>549602.28999999992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1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275">
        <v>151740.87</v>
      </c>
      <c r="G367" s="275"/>
      <c r="H367" s="275">
        <v>76767.17</v>
      </c>
      <c r="I367" s="56">
        <f>SUM(F367:H367)</f>
        <v>228508.03999999998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276">
        <v>9939.6200000000008</v>
      </c>
      <c r="G368" s="276"/>
      <c r="H368" s="276">
        <v>5301.08</v>
      </c>
      <c r="I368" s="56">
        <f>SUM(F368:H368)</f>
        <v>15240.7</v>
      </c>
      <c r="J368" s="24" t="s">
        <v>289</v>
      </c>
      <c r="K368" s="24" t="s">
        <v>289</v>
      </c>
      <c r="L368" s="24" t="s">
        <v>289</v>
      </c>
      <c r="M368" s="8"/>
      <c r="N368" s="271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161680.49</v>
      </c>
      <c r="G369" s="47">
        <f>SUM(G367:G368)</f>
        <v>0</v>
      </c>
      <c r="H369" s="47">
        <f>SUM(H367:H368)</f>
        <v>82068.25</v>
      </c>
      <c r="I369" s="47">
        <f>SUM(I367:I368)</f>
        <v>243748.74</v>
      </c>
      <c r="J369" s="24" t="s">
        <v>289</v>
      </c>
      <c r="K369" s="24" t="s">
        <v>289</v>
      </c>
      <c r="L369" s="24" t="s">
        <v>289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71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71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1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8">
        <f>SUM(F374:F381)</f>
        <v>0</v>
      </c>
      <c r="G382" s="138">
        <f t="shared" ref="G382:L382" si="24">SUM(G374:G381)</f>
        <v>0</v>
      </c>
      <c r="H382" s="138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483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6" t="s">
        <v>341</v>
      </c>
      <c r="M386" s="8"/>
      <c r="N386" s="271"/>
    </row>
    <row r="387" spans="1:14" s="3" customFormat="1" ht="12" customHeight="1" x14ac:dyDescent="0.15">
      <c r="A387" s="78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8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8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8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8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8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16572.919999999998</v>
      </c>
      <c r="H392" s="18">
        <v>211.11</v>
      </c>
      <c r="I392" s="18"/>
      <c r="J392" s="24" t="s">
        <v>289</v>
      </c>
      <c r="K392" s="24" t="s">
        <v>289</v>
      </c>
      <c r="L392" s="56">
        <f t="shared" si="25"/>
        <v>16784.03</v>
      </c>
      <c r="M392" s="8"/>
      <c r="N392" s="271"/>
    </row>
    <row r="393" spans="1:14" s="3" customFormat="1" ht="12" customHeight="1" thickTop="1" x14ac:dyDescent="0.15">
      <c r="A393" s="159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8">
        <f>SUM(F387:F392)</f>
        <v>0</v>
      </c>
      <c r="G393" s="138">
        <f>SUM(G387:G392)</f>
        <v>16572.919999999998</v>
      </c>
      <c r="H393" s="138">
        <f>SUM(H387:H392)</f>
        <v>211.11</v>
      </c>
      <c r="I393" s="64">
        <f>SUM(I387:I392)</f>
        <v>0</v>
      </c>
      <c r="J393" s="45" t="s">
        <v>289</v>
      </c>
      <c r="K393" s="45" t="s">
        <v>289</v>
      </c>
      <c r="L393" s="47">
        <f>SUM(L387:L392)</f>
        <v>16784.03</v>
      </c>
      <c r="M393" s="8"/>
      <c r="N393" s="271"/>
    </row>
    <row r="394" spans="1:14" s="3" customFormat="1" ht="12" customHeight="1" x14ac:dyDescent="0.15">
      <c r="A394" s="77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1"/>
    </row>
    <row r="395" spans="1:14" s="3" customFormat="1" ht="12" customHeight="1" x14ac:dyDescent="0.15">
      <c r="A395" s="78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8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1378.65</v>
      </c>
      <c r="I396" s="18"/>
      <c r="J396" s="24" t="s">
        <v>289</v>
      </c>
      <c r="K396" s="24" t="s">
        <v>289</v>
      </c>
      <c r="L396" s="56">
        <f t="shared" si="26"/>
        <v>1378.65</v>
      </c>
      <c r="M396" s="8"/>
      <c r="N396" s="271"/>
    </row>
    <row r="397" spans="1:14" s="3" customFormat="1" ht="12" customHeight="1" x14ac:dyDescent="0.15">
      <c r="A397" s="78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1"/>
    </row>
    <row r="398" spans="1:14" s="3" customFormat="1" ht="12" customHeight="1" x14ac:dyDescent="0.15">
      <c r="A398" s="78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8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8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4925.18</v>
      </c>
      <c r="I400" s="18">
        <v>27293.37</v>
      </c>
      <c r="J400" s="24" t="s">
        <v>289</v>
      </c>
      <c r="K400" s="24" t="s">
        <v>289</v>
      </c>
      <c r="L400" s="56">
        <f t="shared" si="26"/>
        <v>32218.55</v>
      </c>
      <c r="M400" s="8"/>
      <c r="N400" s="271"/>
    </row>
    <row r="401" spans="1:21" s="3" customFormat="1" ht="12" customHeight="1" thickTop="1" x14ac:dyDescent="0.15">
      <c r="A401" s="159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6303.83</v>
      </c>
      <c r="I401" s="47">
        <f>SUM(I395:I400)</f>
        <v>27293.37</v>
      </c>
      <c r="J401" s="45" t="s">
        <v>289</v>
      </c>
      <c r="K401" s="45" t="s">
        <v>289</v>
      </c>
      <c r="L401" s="47">
        <f>SUM(L395:L400)</f>
        <v>33597.199999999997</v>
      </c>
      <c r="M401" s="8"/>
      <c r="N401" s="271"/>
    </row>
    <row r="402" spans="1:21" s="3" customFormat="1" ht="12" customHeight="1" x14ac:dyDescent="0.15">
      <c r="A402" s="77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1"/>
    </row>
    <row r="403" spans="1:21" s="3" customFormat="1" ht="12" customHeight="1" x14ac:dyDescent="0.15">
      <c r="A403" s="109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09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09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09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59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7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16572.919999999998</v>
      </c>
      <c r="H408" s="47">
        <f>H393+H401+H407</f>
        <v>6514.94</v>
      </c>
      <c r="I408" s="47">
        <f>I393+I401+I407</f>
        <v>27293.37</v>
      </c>
      <c r="J408" s="24" t="s">
        <v>289</v>
      </c>
      <c r="K408" s="24" t="s">
        <v>289</v>
      </c>
      <c r="L408" s="47">
        <f>L393+L401+L407</f>
        <v>50381.229999999996</v>
      </c>
      <c r="M408" s="8"/>
      <c r="N408" s="271"/>
    </row>
    <row r="409" spans="1:21" s="3" customFormat="1" ht="12" customHeight="1" x14ac:dyDescent="0.15">
      <c r="A409" s="77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8"/>
      <c r="N409" s="271"/>
    </row>
    <row r="410" spans="1:21" s="3" customFormat="1" ht="12" customHeight="1" x14ac:dyDescent="0.15">
      <c r="A410" s="26" t="s">
        <v>483</v>
      </c>
      <c r="B410" s="75"/>
      <c r="C410" s="75"/>
      <c r="D410" s="75"/>
      <c r="E410" s="75"/>
      <c r="F410" s="65"/>
      <c r="G410" s="16" t="s">
        <v>385</v>
      </c>
      <c r="H410" s="16" t="s">
        <v>386</v>
      </c>
      <c r="I410" s="66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6" t="s">
        <v>341</v>
      </c>
      <c r="M411" s="8"/>
      <c r="N411" s="271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1"/>
    </row>
    <row r="413" spans="1:21" s="3" customFormat="1" ht="12" customHeight="1" x14ac:dyDescent="0.15">
      <c r="A413" s="78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8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8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8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x14ac:dyDescent="0.15">
      <c r="A417" s="78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8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>
        <v>6438.45</v>
      </c>
      <c r="J418" s="18"/>
      <c r="K418" s="18"/>
      <c r="L418" s="56">
        <f t="shared" si="27"/>
        <v>6438.45</v>
      </c>
      <c r="M418" s="8"/>
      <c r="N418" s="271"/>
    </row>
    <row r="419" spans="1:21" s="3" customFormat="1" ht="12" customHeight="1" thickTop="1" x14ac:dyDescent="0.15">
      <c r="A419" s="159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6438.45</v>
      </c>
      <c r="J419" s="138">
        <f t="shared" si="28"/>
        <v>0</v>
      </c>
      <c r="K419" s="138">
        <f t="shared" si="28"/>
        <v>0</v>
      </c>
      <c r="L419" s="47">
        <f t="shared" si="28"/>
        <v>6438.45</v>
      </c>
      <c r="M419" s="8"/>
      <c r="N419" s="271"/>
    </row>
    <row r="420" spans="1:21" s="3" customFormat="1" ht="12" customHeight="1" x14ac:dyDescent="0.15">
      <c r="A420" s="77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1"/>
    </row>
    <row r="421" spans="1:21" s="3" customFormat="1" ht="12" customHeight="1" x14ac:dyDescent="0.15">
      <c r="A421" s="78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8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239391.97</v>
      </c>
      <c r="I422" s="18"/>
      <c r="J422" s="18">
        <v>51545.63</v>
      </c>
      <c r="K422" s="18"/>
      <c r="L422" s="56">
        <f t="shared" si="29"/>
        <v>290937.59999999998</v>
      </c>
      <c r="M422" s="8"/>
      <c r="N422" s="271"/>
    </row>
    <row r="423" spans="1:21" s="3" customFormat="1" ht="12" customHeight="1" x14ac:dyDescent="0.15">
      <c r="A423" s="78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" customHeight="1" x14ac:dyDescent="0.15">
      <c r="A424" s="78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x14ac:dyDescent="0.15">
      <c r="A425" s="78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8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15698.02</v>
      </c>
      <c r="I426" s="18"/>
      <c r="J426" s="18"/>
      <c r="K426" s="18"/>
      <c r="L426" s="56">
        <f t="shared" si="29"/>
        <v>15698.02</v>
      </c>
      <c r="M426" s="8"/>
      <c r="N426" s="271"/>
    </row>
    <row r="427" spans="1:21" s="3" customFormat="1" ht="12" customHeight="1" thickTop="1" x14ac:dyDescent="0.15">
      <c r="A427" s="159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255089.99</v>
      </c>
      <c r="I427" s="47">
        <f t="shared" si="30"/>
        <v>0</v>
      </c>
      <c r="J427" s="47">
        <f t="shared" si="30"/>
        <v>51545.63</v>
      </c>
      <c r="K427" s="47">
        <f t="shared" si="30"/>
        <v>0</v>
      </c>
      <c r="L427" s="47">
        <f t="shared" si="30"/>
        <v>306635.62</v>
      </c>
      <c r="M427" s="8"/>
      <c r="N427" s="271"/>
    </row>
    <row r="428" spans="1:21" s="11" customFormat="1" ht="12" customHeight="1" x14ac:dyDescent="0.15">
      <c r="A428" s="77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7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09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7"/>
      <c r="N429" s="226"/>
    </row>
    <row r="430" spans="1:21" s="58" customFormat="1" ht="12" customHeight="1" x14ac:dyDescent="0.15">
      <c r="A430" s="109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7"/>
      <c r="N430" s="226"/>
    </row>
    <row r="431" spans="1:21" ht="12" customHeight="1" x14ac:dyDescent="0.2">
      <c r="A431" s="109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" customHeight="1" thickBot="1" x14ac:dyDescent="0.2">
      <c r="A432" s="109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59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7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255089.99</v>
      </c>
      <c r="I434" s="47">
        <f t="shared" si="32"/>
        <v>6438.45</v>
      </c>
      <c r="J434" s="47">
        <f t="shared" si="32"/>
        <v>51545.63</v>
      </c>
      <c r="K434" s="47">
        <f t="shared" si="32"/>
        <v>0</v>
      </c>
      <c r="L434" s="47">
        <f t="shared" si="32"/>
        <v>313074.07</v>
      </c>
      <c r="M434" s="8"/>
      <c r="N434" s="271"/>
    </row>
    <row r="435" spans="1:14" s="3" customFormat="1" ht="1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8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8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1"/>
    </row>
    <row r="442" spans="1:14" s="3" customFormat="1" ht="12" customHeight="1" x14ac:dyDescent="0.15">
      <c r="A442" s="68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274037.95</v>
      </c>
      <c r="G442" s="18">
        <v>565794.59</v>
      </c>
      <c r="H442" s="18"/>
      <c r="I442" s="56">
        <f t="shared" si="33"/>
        <v>839832.54</v>
      </c>
      <c r="J442" s="24" t="s">
        <v>289</v>
      </c>
      <c r="K442" s="24" t="s">
        <v>289</v>
      </c>
      <c r="L442" s="24" t="s">
        <v>289</v>
      </c>
      <c r="M442" s="8"/>
      <c r="N442" s="271"/>
    </row>
    <row r="443" spans="1:14" s="3" customFormat="1" ht="12" customHeight="1" x14ac:dyDescent="0.15">
      <c r="A443" s="68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8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x14ac:dyDescent="0.15">
      <c r="A445" s="68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Bot="1" x14ac:dyDescent="0.2">
      <c r="A446" s="69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274037.95</v>
      </c>
      <c r="G446" s="13">
        <f>SUM(G439:G445)</f>
        <v>565794.59</v>
      </c>
      <c r="H446" s="13">
        <f>SUM(H439:H445)</f>
        <v>0</v>
      </c>
      <c r="I446" s="13">
        <f>SUM(I439:I445)</f>
        <v>839832.54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8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8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8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x14ac:dyDescent="0.15">
      <c r="A451" s="68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Bot="1" x14ac:dyDescent="0.2">
      <c r="A452" s="73" t="s">
        <v>424</v>
      </c>
      <c r="B452" s="72">
        <v>18</v>
      </c>
      <c r="C452" s="70">
        <v>13</v>
      </c>
      <c r="D452" s="2" t="s">
        <v>433</v>
      </c>
      <c r="E452" s="70"/>
      <c r="F452" s="71">
        <f>SUM(F448:F451)</f>
        <v>0</v>
      </c>
      <c r="G452" s="71">
        <f>SUM(G448:G451)</f>
        <v>0</v>
      </c>
      <c r="H452" s="71">
        <f>SUM(H448:H451)</f>
        <v>0</v>
      </c>
      <c r="I452" s="71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thickTop="1" x14ac:dyDescent="0.15">
      <c r="A453" s="89" t="s">
        <v>8</v>
      </c>
      <c r="B453" s="36"/>
      <c r="C453" s="74"/>
      <c r="D453" s="74"/>
      <c r="E453" s="74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1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1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7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274037.95</v>
      </c>
      <c r="G459" s="18">
        <v>565794.59</v>
      </c>
      <c r="H459" s="18"/>
      <c r="I459" s="56">
        <f t="shared" si="34"/>
        <v>839832.54</v>
      </c>
      <c r="J459" s="24" t="s">
        <v>289</v>
      </c>
      <c r="K459" s="24" t="s">
        <v>289</v>
      </c>
      <c r="L459" s="24" t="s">
        <v>289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0">
        <v>18</v>
      </c>
      <c r="C460" s="51">
        <v>20</v>
      </c>
      <c r="D460" s="48" t="s">
        <v>433</v>
      </c>
      <c r="E460" s="51"/>
      <c r="F460" s="82">
        <f>SUM(F454:F459)</f>
        <v>274037.95</v>
      </c>
      <c r="G460" s="82">
        <f>SUM(G454:G459)</f>
        <v>565794.59</v>
      </c>
      <c r="H460" s="82">
        <f>SUM(H454:H459)</f>
        <v>0</v>
      </c>
      <c r="I460" s="82">
        <f>SUM(I454:I459)</f>
        <v>839832.54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thickTop="1" x14ac:dyDescent="0.2">
      <c r="A461" s="90" t="s">
        <v>425</v>
      </c>
      <c r="B461" s="44">
        <v>18</v>
      </c>
      <c r="C461" s="81">
        <v>21</v>
      </c>
      <c r="D461" s="156" t="s">
        <v>433</v>
      </c>
      <c r="E461" s="81"/>
      <c r="F461" s="42">
        <f>F452+F460</f>
        <v>274037.95</v>
      </c>
      <c r="G461" s="42">
        <f>G452+G460</f>
        <v>565794.59</v>
      </c>
      <c r="H461" s="42">
        <f>H452+H460</f>
        <v>0</v>
      </c>
      <c r="I461" s="42">
        <f>I452+I460</f>
        <v>839832.54</v>
      </c>
      <c r="J461" s="24" t="s">
        <v>289</v>
      </c>
      <c r="K461" s="24" t="s">
        <v>289</v>
      </c>
      <c r="L461" s="24" t="s">
        <v>289</v>
      </c>
      <c r="N461" s="270"/>
    </row>
    <row r="462" spans="1:23" s="52" customFormat="1" ht="1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1" t="s">
        <v>9</v>
      </c>
      <c r="B463" s="74"/>
      <c r="C463" s="79"/>
      <c r="D463" s="79"/>
      <c r="E463" s="79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0"/>
    </row>
    <row r="464" spans="1:23" s="52" customFormat="1" ht="1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70"/>
    </row>
    <row r="465" spans="1:14" s="52" customFormat="1" ht="12" customHeight="1" x14ac:dyDescent="0.2">
      <c r="A465" s="188" t="s">
        <v>891</v>
      </c>
      <c r="B465" s="104">
        <v>19</v>
      </c>
      <c r="C465" s="110">
        <v>1</v>
      </c>
      <c r="D465" s="2" t="s">
        <v>433</v>
      </c>
      <c r="E465" s="110"/>
      <c r="F465" s="18">
        <v>715968.4</v>
      </c>
      <c r="G465" s="18">
        <v>57428.78</v>
      </c>
      <c r="H465" s="18">
        <v>10757.23</v>
      </c>
      <c r="I465" s="18">
        <v>0</v>
      </c>
      <c r="J465" s="18">
        <v>1102525.3799999999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3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2" t="s">
        <v>614</v>
      </c>
      <c r="B468" s="74">
        <v>19</v>
      </c>
      <c r="C468" s="79">
        <v>2</v>
      </c>
      <c r="D468" s="2" t="s">
        <v>433</v>
      </c>
      <c r="E468" s="79"/>
      <c r="F468" s="18">
        <v>17570542.899999999</v>
      </c>
      <c r="G468" s="277">
        <v>546038.67000000004</v>
      </c>
      <c r="H468" s="18">
        <v>959619.13</v>
      </c>
      <c r="I468" s="18"/>
      <c r="J468" s="18">
        <v>50381.23</v>
      </c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2" t="s">
        <v>615</v>
      </c>
      <c r="B469" s="74">
        <v>19</v>
      </c>
      <c r="C469" s="79">
        <v>3</v>
      </c>
      <c r="D469" s="2" t="s">
        <v>433</v>
      </c>
      <c r="E469" s="79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1" t="s">
        <v>426</v>
      </c>
      <c r="B470" s="74">
        <v>19</v>
      </c>
      <c r="C470" s="79">
        <v>4</v>
      </c>
      <c r="D470" s="2" t="s">
        <v>433</v>
      </c>
      <c r="E470" s="79"/>
      <c r="F470" s="53">
        <f>SUM(F468:F469)</f>
        <v>17570542.899999999</v>
      </c>
      <c r="G470" s="53">
        <f>SUM(G468:G469)</f>
        <v>546038.67000000004</v>
      </c>
      <c r="H470" s="53">
        <f>SUM(H468:H469)</f>
        <v>959619.13</v>
      </c>
      <c r="I470" s="53">
        <f>SUM(I468:I469)</f>
        <v>0</v>
      </c>
      <c r="J470" s="53">
        <f>SUM(J468:J469)</f>
        <v>50381.23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3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2" t="s">
        <v>616</v>
      </c>
      <c r="B472" s="74">
        <v>19</v>
      </c>
      <c r="C472" s="79">
        <v>5</v>
      </c>
      <c r="D472" s="2" t="s">
        <v>433</v>
      </c>
      <c r="E472" s="79"/>
      <c r="F472" s="18">
        <v>17280000.800000001</v>
      </c>
      <c r="G472" s="278">
        <v>549602.29</v>
      </c>
      <c r="H472" s="18">
        <v>960050.86</v>
      </c>
      <c r="I472" s="18"/>
      <c r="J472" s="18">
        <v>313074.07</v>
      </c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2" t="s">
        <v>617</v>
      </c>
      <c r="B473" s="74">
        <v>19</v>
      </c>
      <c r="C473" s="79">
        <v>6</v>
      </c>
      <c r="D473" s="2" t="s">
        <v>433</v>
      </c>
      <c r="E473" s="79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91" t="s">
        <v>427</v>
      </c>
      <c r="B474" s="74">
        <v>19</v>
      </c>
      <c r="C474" s="79">
        <v>7</v>
      </c>
      <c r="D474" s="2" t="s">
        <v>433</v>
      </c>
      <c r="E474" s="79"/>
      <c r="F474" s="53">
        <f>SUM(F472:F473)</f>
        <v>17280000.800000001</v>
      </c>
      <c r="G474" s="53">
        <f>SUM(G472:G473)</f>
        <v>549602.29</v>
      </c>
      <c r="H474" s="53">
        <f>SUM(H472:H473)</f>
        <v>960050.86</v>
      </c>
      <c r="I474" s="53">
        <f>SUM(I472:I473)</f>
        <v>0</v>
      </c>
      <c r="J474" s="53">
        <f>SUM(J472:J473)</f>
        <v>313074.07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189" t="s">
        <v>892</v>
      </c>
      <c r="B476" s="74">
        <v>19</v>
      </c>
      <c r="C476" s="114">
        <v>8</v>
      </c>
      <c r="D476" s="2" t="s">
        <v>433</v>
      </c>
      <c r="E476" s="114"/>
      <c r="F476" s="53">
        <f>(F465+F470)- F474</f>
        <v>1006510.4999999963</v>
      </c>
      <c r="G476" s="53">
        <f>(G465+G470)- G474</f>
        <v>53865.160000000033</v>
      </c>
      <c r="H476" s="53">
        <f>(H465+H470)- H474</f>
        <v>10325.5</v>
      </c>
      <c r="I476" s="53">
        <f>(I465+I470)- I474</f>
        <v>0</v>
      </c>
      <c r="J476" s="53">
        <f>(J465+J470)- J474</f>
        <v>839832.5399999998</v>
      </c>
      <c r="K476" s="24" t="s">
        <v>289</v>
      </c>
      <c r="L476" s="24" t="s">
        <v>289</v>
      </c>
      <c r="N476" s="270"/>
    </row>
    <row r="477" spans="1:14" s="52" customFormat="1" ht="1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70"/>
    </row>
    <row r="478" spans="1:14" s="52" customFormat="1" ht="12" customHeight="1" x14ac:dyDescent="0.2">
      <c r="A478" s="94" t="s">
        <v>661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70"/>
    </row>
    <row r="479" spans="1:14" s="52" customFormat="1" ht="12" customHeight="1" x14ac:dyDescent="0.2">
      <c r="A479" s="94" t="s">
        <v>699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70"/>
    </row>
    <row r="480" spans="1:14" s="52" customFormat="1" ht="1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402</v>
      </c>
      <c r="J480" s="111"/>
      <c r="K480" s="94"/>
      <c r="L480" s="94"/>
      <c r="N480" s="270"/>
    </row>
    <row r="481" spans="1:14" s="52" customFormat="1" ht="12" customHeight="1" x14ac:dyDescent="0.2">
      <c r="A481" s="174"/>
      <c r="B481" s="111"/>
      <c r="C481" s="111"/>
      <c r="D481" s="111"/>
      <c r="E481" s="111"/>
      <c r="F481" s="111"/>
      <c r="G481" s="111"/>
      <c r="H481" s="111"/>
      <c r="I481" s="111" t="s">
        <v>654</v>
      </c>
      <c r="J481" s="111"/>
      <c r="K481" s="94"/>
      <c r="L481" s="94"/>
      <c r="N481" s="270"/>
    </row>
    <row r="482" spans="1:14" s="52" customFormat="1" ht="12" customHeight="1" x14ac:dyDescent="0.2">
      <c r="A482" s="94" t="s">
        <v>700</v>
      </c>
      <c r="B482" s="111"/>
      <c r="C482" s="111"/>
      <c r="D482" s="111"/>
      <c r="E482" s="111"/>
      <c r="F482" s="111"/>
      <c r="G482" s="111"/>
      <c r="H482" s="111"/>
      <c r="I482" s="111" t="s">
        <v>474</v>
      </c>
      <c r="J482" s="111"/>
      <c r="K482" s="94"/>
      <c r="L482" s="94"/>
      <c r="N482" s="270"/>
    </row>
    <row r="483" spans="1:14" s="52" customFormat="1" ht="12" customHeight="1" x14ac:dyDescent="0.2">
      <c r="A483" s="173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70"/>
    </row>
    <row r="484" spans="1:14" s="52" customFormat="1" ht="12" customHeight="1" x14ac:dyDescent="0.2">
      <c r="A484" s="173"/>
      <c r="B484" s="111"/>
      <c r="C484" s="111"/>
      <c r="D484" s="111"/>
      <c r="E484" s="111"/>
      <c r="F484" s="111"/>
      <c r="G484" s="111"/>
      <c r="H484" s="111"/>
      <c r="I484" s="111" t="s">
        <v>475</v>
      </c>
      <c r="J484" s="111"/>
      <c r="K484" s="94"/>
      <c r="L484" s="94"/>
      <c r="N484" s="270"/>
    </row>
    <row r="485" spans="1:14" s="52" customFormat="1" ht="12" customHeight="1" x14ac:dyDescent="0.2">
      <c r="A485" s="173"/>
      <c r="B485" s="111"/>
      <c r="C485" s="111"/>
      <c r="D485" s="111"/>
      <c r="E485" s="111"/>
      <c r="F485" s="111"/>
      <c r="G485" s="111"/>
      <c r="H485" s="111"/>
      <c r="I485" s="111" t="s">
        <v>476</v>
      </c>
      <c r="J485" s="111"/>
      <c r="K485" s="94"/>
      <c r="L485" s="94"/>
      <c r="N485" s="270"/>
    </row>
    <row r="486" spans="1:14" s="52" customFormat="1" ht="1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70"/>
    </row>
    <row r="487" spans="1:14" s="52" customFormat="1" ht="1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70"/>
    </row>
    <row r="488" spans="1:14" s="52" customFormat="1" ht="12" customHeight="1" x14ac:dyDescent="0.2">
      <c r="A488" s="146" t="s">
        <v>893</v>
      </c>
      <c r="B488" s="104"/>
      <c r="C488" s="114"/>
      <c r="D488" s="114"/>
      <c r="E488" s="114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5"/>
      <c r="N488" s="270"/>
    </row>
    <row r="489" spans="1:14" s="52" customFormat="1" ht="1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341</v>
      </c>
      <c r="L489" s="115"/>
      <c r="N489" s="270"/>
    </row>
    <row r="490" spans="1:14" s="52" customFormat="1" ht="12" customHeight="1" x14ac:dyDescent="0.2">
      <c r="A490" s="22" t="s">
        <v>618</v>
      </c>
      <c r="B490" s="74">
        <v>20</v>
      </c>
      <c r="C490" s="114">
        <v>1</v>
      </c>
      <c r="D490" s="2" t="s">
        <v>433</v>
      </c>
      <c r="E490" s="114"/>
      <c r="F490" s="153"/>
      <c r="G490" s="153"/>
      <c r="H490" s="153"/>
      <c r="I490" s="153"/>
      <c r="J490" s="153"/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619</v>
      </c>
      <c r="B491" s="74">
        <v>20</v>
      </c>
      <c r="C491" s="114">
        <v>2</v>
      </c>
      <c r="D491" s="2" t="s">
        <v>433</v>
      </c>
      <c r="E491" s="114"/>
      <c r="F491" s="154"/>
      <c r="G491" s="154"/>
      <c r="H491" s="153"/>
      <c r="I491" s="153"/>
      <c r="J491" s="153"/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620</v>
      </c>
      <c r="B492" s="74">
        <v>20</v>
      </c>
      <c r="C492" s="114">
        <v>3</v>
      </c>
      <c r="D492" s="2" t="s">
        <v>433</v>
      </c>
      <c r="E492" s="114"/>
      <c r="F492" s="154"/>
      <c r="G492" s="154"/>
      <c r="H492" s="153"/>
      <c r="I492" s="153"/>
      <c r="J492" s="153"/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621</v>
      </c>
      <c r="B493" s="74">
        <v>20</v>
      </c>
      <c r="C493" s="114">
        <v>4</v>
      </c>
      <c r="D493" s="2" t="s">
        <v>433</v>
      </c>
      <c r="E493" s="114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622</v>
      </c>
      <c r="B494" s="74">
        <v>20</v>
      </c>
      <c r="C494" s="114">
        <v>5</v>
      </c>
      <c r="D494" s="2" t="s">
        <v>433</v>
      </c>
      <c r="E494" s="114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0"/>
    </row>
    <row r="495" spans="1:14" s="52" customFormat="1" ht="12" customHeight="1" x14ac:dyDescent="0.2">
      <c r="A495" s="22" t="s">
        <v>623</v>
      </c>
      <c r="B495" s="74">
        <v>20</v>
      </c>
      <c r="C495" s="114">
        <v>6</v>
      </c>
      <c r="D495" s="2" t="s">
        <v>433</v>
      </c>
      <c r="E495" s="114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0"/>
    </row>
    <row r="496" spans="1:14" s="52" customFormat="1" ht="12" customHeight="1" x14ac:dyDescent="0.2">
      <c r="A496" s="22" t="s">
        <v>624</v>
      </c>
      <c r="B496" s="74">
        <v>20</v>
      </c>
      <c r="C496" s="114">
        <v>7</v>
      </c>
      <c r="D496" s="2" t="s">
        <v>433</v>
      </c>
      <c r="E496" s="114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0"/>
    </row>
    <row r="497" spans="1:14" s="52" customFormat="1" ht="12" customHeight="1" x14ac:dyDescent="0.2">
      <c r="A497" s="22" t="s">
        <v>625</v>
      </c>
      <c r="B497" s="74">
        <v>20</v>
      </c>
      <c r="C497" s="114">
        <v>8</v>
      </c>
      <c r="D497" s="2" t="s">
        <v>433</v>
      </c>
      <c r="E497" s="114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0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03"/>
      <c r="G498" s="203"/>
      <c r="H498" s="203"/>
      <c r="I498" s="203"/>
      <c r="J498" s="203"/>
      <c r="K498" s="204">
        <f t="shared" si="35"/>
        <v>0</v>
      </c>
      <c r="L498" s="205" t="s">
        <v>289</v>
      </c>
      <c r="N498" s="270"/>
    </row>
    <row r="499" spans="1:14" s="52" customFormat="1" ht="12" customHeight="1" thickBot="1" x14ac:dyDescent="0.25">
      <c r="A499" s="22" t="s">
        <v>627</v>
      </c>
      <c r="B499" s="74">
        <v>20</v>
      </c>
      <c r="C499" s="114">
        <v>10</v>
      </c>
      <c r="D499" s="2" t="s">
        <v>433</v>
      </c>
      <c r="E499" s="114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0"/>
    </row>
    <row r="500" spans="1:14" s="52" customFormat="1" ht="12" customHeight="1" thickTop="1" x14ac:dyDescent="0.2">
      <c r="A500" s="138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0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03"/>
      <c r="G501" s="203"/>
      <c r="H501" s="203"/>
      <c r="I501" s="203"/>
      <c r="J501" s="203"/>
      <c r="K501" s="204">
        <f t="shared" si="35"/>
        <v>0</v>
      </c>
      <c r="L501" s="205" t="s">
        <v>289</v>
      </c>
      <c r="N501" s="270"/>
    </row>
    <row r="502" spans="1:14" s="52" customFormat="1" ht="12" customHeight="1" thickBot="1" x14ac:dyDescent="0.25">
      <c r="A502" s="22" t="s">
        <v>629</v>
      </c>
      <c r="B502" s="74">
        <v>20</v>
      </c>
      <c r="C502" s="114">
        <v>13</v>
      </c>
      <c r="D502" s="2" t="s">
        <v>433</v>
      </c>
      <c r="E502" s="114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0"/>
    </row>
    <row r="503" spans="1:14" s="52" customFormat="1" ht="12" customHeight="1" thickTop="1" x14ac:dyDescent="0.2">
      <c r="A503" s="138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0"/>
    </row>
    <row r="504" spans="1:14" s="52" customFormat="1" ht="1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70"/>
    </row>
    <row r="505" spans="1:14" s="52" customFormat="1" ht="1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70"/>
    </row>
    <row r="506" spans="1:14" s="52" customFormat="1" ht="1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5" t="s">
        <v>40</v>
      </c>
      <c r="B507" s="104">
        <v>20</v>
      </c>
      <c r="C507" s="114">
        <v>15</v>
      </c>
      <c r="D507" s="2" t="s">
        <v>433</v>
      </c>
      <c r="E507" s="114"/>
      <c r="F507" s="143"/>
      <c r="G507" s="143"/>
      <c r="H507" s="143"/>
      <c r="I507" s="143"/>
      <c r="J507" s="24" t="s">
        <v>289</v>
      </c>
      <c r="K507" s="24" t="s">
        <v>289</v>
      </c>
      <c r="L507" s="24" t="s">
        <v>289</v>
      </c>
      <c r="N507" s="270"/>
    </row>
    <row r="508" spans="1:14" s="52" customFormat="1" ht="1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6" t="s">
        <v>894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70"/>
    </row>
    <row r="510" spans="1:14" s="52" customFormat="1" ht="1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631</v>
      </c>
      <c r="B511" s="74">
        <v>20</v>
      </c>
      <c r="C511" s="114">
        <v>16</v>
      </c>
      <c r="D511" s="2" t="s">
        <v>433</v>
      </c>
      <c r="E511" s="114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632</v>
      </c>
      <c r="B512" s="74">
        <v>20</v>
      </c>
      <c r="C512" s="114">
        <v>17</v>
      </c>
      <c r="D512" s="2" t="s">
        <v>433</v>
      </c>
      <c r="E512" s="114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633</v>
      </c>
      <c r="B513" s="74">
        <v>20</v>
      </c>
      <c r="C513" s="114">
        <v>18</v>
      </c>
      <c r="D513" s="2" t="s">
        <v>433</v>
      </c>
      <c r="E513" s="114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634</v>
      </c>
      <c r="B514" s="74">
        <v>20</v>
      </c>
      <c r="C514" s="114">
        <v>19</v>
      </c>
      <c r="D514" s="2" t="s">
        <v>433</v>
      </c>
      <c r="E514" s="114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x14ac:dyDescent="0.2">
      <c r="A515" s="22" t="s">
        <v>635</v>
      </c>
      <c r="B515" s="74">
        <v>20</v>
      </c>
      <c r="C515" s="114">
        <v>20</v>
      </c>
      <c r="D515" s="2" t="s">
        <v>433</v>
      </c>
      <c r="E515" s="114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Bot="1" x14ac:dyDescent="0.25">
      <c r="A516" s="22" t="s">
        <v>636</v>
      </c>
      <c r="B516" s="74">
        <v>20</v>
      </c>
      <c r="C516" s="114">
        <v>21</v>
      </c>
      <c r="D516" s="2" t="s">
        <v>433</v>
      </c>
      <c r="E516" s="114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thickTop="1" x14ac:dyDescent="0.2">
      <c r="A517" s="95" t="s">
        <v>428</v>
      </c>
      <c r="B517" s="74">
        <v>20</v>
      </c>
      <c r="C517" s="114">
        <v>22</v>
      </c>
      <c r="D517" s="2" t="s">
        <v>433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0"/>
    </row>
    <row r="518" spans="1:14" s="52" customFormat="1" ht="12" customHeight="1" x14ac:dyDescent="0.2">
      <c r="A518" s="95" t="s">
        <v>702</v>
      </c>
      <c r="B518" s="104"/>
      <c r="C518" s="114"/>
      <c r="D518" s="114"/>
      <c r="E518" s="114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5"/>
      <c r="N518" s="270"/>
    </row>
    <row r="519" spans="1:14" s="52" customFormat="1" ht="12" customHeight="1" x14ac:dyDescent="0.2">
      <c r="A519" s="177" t="s">
        <v>701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70"/>
    </row>
    <row r="520" spans="1:14" s="52" customFormat="1" ht="12" customHeight="1" x14ac:dyDescent="0.2">
      <c r="A520" s="95" t="s">
        <v>60</v>
      </c>
      <c r="B520" s="104"/>
      <c r="C520" s="114"/>
      <c r="D520" s="114"/>
      <c r="E520" s="114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0"/>
    </row>
    <row r="521" spans="1:14" s="52" customFormat="1" ht="12" customHeight="1" x14ac:dyDescent="0.2">
      <c r="A521" s="22" t="s">
        <v>637</v>
      </c>
      <c r="B521" s="104">
        <v>21</v>
      </c>
      <c r="C521" s="114">
        <v>1</v>
      </c>
      <c r="D521" s="2" t="s">
        <v>433</v>
      </c>
      <c r="E521" s="114"/>
      <c r="F521" s="18">
        <v>1004087.94</v>
      </c>
      <c r="G521" s="18">
        <v>523046.98</v>
      </c>
      <c r="H521" s="18">
        <v>41223.79</v>
      </c>
      <c r="I521" s="18">
        <v>19255.400000000001</v>
      </c>
      <c r="J521" s="18">
        <v>795.73</v>
      </c>
      <c r="K521" s="18">
        <v>877.54</v>
      </c>
      <c r="L521" s="87">
        <f>SUM(F521:K521)</f>
        <v>1589287.38</v>
      </c>
      <c r="N521" s="270"/>
    </row>
    <row r="522" spans="1:14" s="52" customFormat="1" ht="12" customHeight="1" x14ac:dyDescent="0.2">
      <c r="A522" s="22" t="s">
        <v>638</v>
      </c>
      <c r="B522" s="104">
        <v>21</v>
      </c>
      <c r="C522" s="114">
        <v>2</v>
      </c>
      <c r="D522" s="2" t="s">
        <v>433</v>
      </c>
      <c r="E522" s="114"/>
      <c r="F522" s="18"/>
      <c r="G522" s="18"/>
      <c r="H522" s="18"/>
      <c r="I522" s="18"/>
      <c r="J522" s="18"/>
      <c r="K522" s="18"/>
      <c r="L522" s="87">
        <f>SUM(F522:K522)</f>
        <v>0</v>
      </c>
      <c r="N522" s="270"/>
    </row>
    <row r="523" spans="1:14" s="52" customFormat="1" ht="12" customHeight="1" thickBot="1" x14ac:dyDescent="0.25">
      <c r="A523" s="22" t="s">
        <v>639</v>
      </c>
      <c r="B523" s="104">
        <v>21</v>
      </c>
      <c r="C523" s="114">
        <v>3</v>
      </c>
      <c r="D523" s="2" t="s">
        <v>433</v>
      </c>
      <c r="E523" s="114"/>
      <c r="F523" s="18">
        <v>370721.07</v>
      </c>
      <c r="G523" s="18">
        <v>194021.51</v>
      </c>
      <c r="H523" s="18">
        <v>173009.3</v>
      </c>
      <c r="I523" s="18">
        <v>3378.16</v>
      </c>
      <c r="J523" s="18">
        <v>62.93</v>
      </c>
      <c r="K523" s="18">
        <v>0</v>
      </c>
      <c r="L523" s="87">
        <f>SUM(F523:K523)</f>
        <v>741192.9700000002</v>
      </c>
      <c r="N523" s="270"/>
    </row>
    <row r="524" spans="1:14" s="52" customFormat="1" ht="12" customHeight="1" thickTop="1" x14ac:dyDescent="0.2">
      <c r="A524" s="138" t="s">
        <v>63</v>
      </c>
      <c r="B524" s="106">
        <v>21</v>
      </c>
      <c r="C524" s="194">
        <v>4</v>
      </c>
      <c r="D524" s="195" t="s">
        <v>433</v>
      </c>
      <c r="E524" s="194"/>
      <c r="F524" s="107">
        <f>SUM(F521:F523)</f>
        <v>1374809.01</v>
      </c>
      <c r="G524" s="107">
        <f t="shared" ref="G524:L524" si="36">SUM(G521:G523)</f>
        <v>717068.49</v>
      </c>
      <c r="H524" s="107">
        <f t="shared" si="36"/>
        <v>214233.09</v>
      </c>
      <c r="I524" s="107">
        <f t="shared" si="36"/>
        <v>22633.56</v>
      </c>
      <c r="J524" s="107">
        <f t="shared" si="36"/>
        <v>858.66</v>
      </c>
      <c r="K524" s="107">
        <f t="shared" si="36"/>
        <v>877.54</v>
      </c>
      <c r="L524" s="88">
        <f t="shared" si="36"/>
        <v>2330480.35</v>
      </c>
      <c r="N524" s="270"/>
    </row>
    <row r="525" spans="1:14" s="52" customFormat="1" ht="12" customHeight="1" x14ac:dyDescent="0.2">
      <c r="A525" s="95" t="s">
        <v>64</v>
      </c>
      <c r="B525" s="104"/>
      <c r="C525" s="114"/>
      <c r="D525" s="114"/>
      <c r="E525" s="114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0"/>
    </row>
    <row r="526" spans="1:14" s="3" customFormat="1" ht="12" customHeight="1" x14ac:dyDescent="0.15">
      <c r="A526" s="22" t="s">
        <v>637</v>
      </c>
      <c r="B526" s="104">
        <v>21</v>
      </c>
      <c r="C526" s="114">
        <v>5</v>
      </c>
      <c r="D526" s="2" t="s">
        <v>433</v>
      </c>
      <c r="E526" s="114"/>
      <c r="F526" s="18">
        <v>508902.19</v>
      </c>
      <c r="G526" s="18">
        <v>227263.49</v>
      </c>
      <c r="H526" s="18">
        <v>101704.28</v>
      </c>
      <c r="I526" s="18">
        <v>105979.36</v>
      </c>
      <c r="J526" s="18">
        <v>12457.23</v>
      </c>
      <c r="K526" s="18"/>
      <c r="L526" s="87">
        <f>SUM(F526:K526)</f>
        <v>956306.54999999993</v>
      </c>
      <c r="M526" s="8"/>
      <c r="N526" s="271"/>
    </row>
    <row r="527" spans="1:14" s="3" customFormat="1" ht="12" customHeight="1" x14ac:dyDescent="0.15">
      <c r="A527" s="22" t="s">
        <v>638</v>
      </c>
      <c r="B527" s="104">
        <v>21</v>
      </c>
      <c r="C527" s="114">
        <v>6</v>
      </c>
      <c r="D527" s="2" t="s">
        <v>433</v>
      </c>
      <c r="E527" s="114"/>
      <c r="F527" s="18"/>
      <c r="G527" s="18"/>
      <c r="H527" s="18"/>
      <c r="I527" s="18"/>
      <c r="J527" s="18"/>
      <c r="K527" s="18"/>
      <c r="L527" s="87">
        <f>SUM(F527:K527)</f>
        <v>0</v>
      </c>
      <c r="M527" s="8"/>
      <c r="N527" s="271"/>
    </row>
    <row r="528" spans="1:14" s="3" customFormat="1" ht="12" customHeight="1" thickBot="1" x14ac:dyDescent="0.2">
      <c r="A528" s="22" t="s">
        <v>639</v>
      </c>
      <c r="B528" s="117">
        <v>21</v>
      </c>
      <c r="C528" s="117">
        <v>7</v>
      </c>
      <c r="D528" s="2" t="s">
        <v>433</v>
      </c>
      <c r="E528" s="117"/>
      <c r="F528" s="18">
        <v>148654.10999999999</v>
      </c>
      <c r="G528" s="18">
        <v>72400.98</v>
      </c>
      <c r="H528" s="18">
        <v>32848.980000000003</v>
      </c>
      <c r="I528" s="18">
        <v>584.29</v>
      </c>
      <c r="J528" s="18">
        <v>0</v>
      </c>
      <c r="K528" s="18"/>
      <c r="L528" s="87">
        <f>SUM(F528:K528)</f>
        <v>254488.36</v>
      </c>
      <c r="M528" s="8"/>
      <c r="N528" s="271"/>
    </row>
    <row r="529" spans="1:14" s="3" customFormat="1" ht="12" customHeight="1" thickTop="1" x14ac:dyDescent="0.15">
      <c r="A529" s="138" t="s">
        <v>65</v>
      </c>
      <c r="B529" s="106">
        <v>21</v>
      </c>
      <c r="C529" s="106">
        <v>8</v>
      </c>
      <c r="D529" s="157" t="s">
        <v>433</v>
      </c>
      <c r="E529" s="106"/>
      <c r="F529" s="88">
        <f>SUM(F526:F528)</f>
        <v>657556.30000000005</v>
      </c>
      <c r="G529" s="88">
        <f t="shared" ref="G529:L529" si="37">SUM(G526:G528)</f>
        <v>299664.46999999997</v>
      </c>
      <c r="H529" s="88">
        <f t="shared" si="37"/>
        <v>134553.26</v>
      </c>
      <c r="I529" s="88">
        <f t="shared" si="37"/>
        <v>106563.65</v>
      </c>
      <c r="J529" s="88">
        <f t="shared" si="37"/>
        <v>12457.23</v>
      </c>
      <c r="K529" s="88">
        <f t="shared" si="37"/>
        <v>0</v>
      </c>
      <c r="L529" s="88">
        <f t="shared" si="37"/>
        <v>1210794.9099999999</v>
      </c>
      <c r="M529" s="8"/>
      <c r="N529" s="271"/>
    </row>
    <row r="530" spans="1:14" s="3" customFormat="1" ht="12" customHeight="1" x14ac:dyDescent="0.15">
      <c r="A530" s="96" t="s">
        <v>66</v>
      </c>
      <c r="B530" s="104"/>
      <c r="C530" s="104"/>
      <c r="D530" s="104"/>
      <c r="E530" s="104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1"/>
    </row>
    <row r="531" spans="1:14" s="3" customFormat="1" ht="12" customHeight="1" x14ac:dyDescent="0.15">
      <c r="A531" s="22" t="s">
        <v>637</v>
      </c>
      <c r="B531" s="104">
        <v>21</v>
      </c>
      <c r="C531" s="104">
        <v>9</v>
      </c>
      <c r="D531" s="2" t="s">
        <v>433</v>
      </c>
      <c r="E531" s="104"/>
      <c r="F531" s="18">
        <v>153129.54999999999</v>
      </c>
      <c r="G531" s="18">
        <v>61545.7</v>
      </c>
      <c r="H531" s="18">
        <v>3617.08</v>
      </c>
      <c r="I531" s="18">
        <v>547.22</v>
      </c>
      <c r="J531" s="18"/>
      <c r="K531" s="18">
        <v>42608.32</v>
      </c>
      <c r="L531" s="87">
        <f>SUM(F531:K531)</f>
        <v>261447.87</v>
      </c>
      <c r="M531" s="8"/>
      <c r="N531" s="271"/>
    </row>
    <row r="532" spans="1:14" s="3" customFormat="1" ht="12" customHeight="1" x14ac:dyDescent="0.15">
      <c r="A532" s="22" t="s">
        <v>638</v>
      </c>
      <c r="B532" s="104">
        <v>21</v>
      </c>
      <c r="C532" s="104">
        <v>10</v>
      </c>
      <c r="D532" s="2" t="s">
        <v>433</v>
      </c>
      <c r="E532" s="104"/>
      <c r="F532" s="18"/>
      <c r="G532" s="18"/>
      <c r="H532" s="18"/>
      <c r="I532" s="18"/>
      <c r="J532" s="18"/>
      <c r="K532" s="18"/>
      <c r="L532" s="87">
        <f>SUM(F532:K532)</f>
        <v>0</v>
      </c>
      <c r="M532" s="8"/>
      <c r="N532" s="271"/>
    </row>
    <row r="533" spans="1:14" s="3" customFormat="1" ht="12" customHeight="1" thickBot="1" x14ac:dyDescent="0.2">
      <c r="A533" s="22" t="s">
        <v>639</v>
      </c>
      <c r="B533" s="104">
        <v>21</v>
      </c>
      <c r="C533" s="104">
        <v>11</v>
      </c>
      <c r="D533" s="2" t="s">
        <v>433</v>
      </c>
      <c r="E533" s="104"/>
      <c r="F533" s="18">
        <v>75178.38</v>
      </c>
      <c r="G533" s="18">
        <v>30665.71</v>
      </c>
      <c r="H533" s="18">
        <v>866.96</v>
      </c>
      <c r="I533" s="18">
        <v>88.37</v>
      </c>
      <c r="J533" s="18"/>
      <c r="K533" s="18">
        <v>9530.94</v>
      </c>
      <c r="L533" s="87">
        <f>SUM(F533:K533)</f>
        <v>116330.36</v>
      </c>
      <c r="M533" s="8"/>
      <c r="N533" s="271"/>
    </row>
    <row r="534" spans="1:14" s="3" customFormat="1" ht="12" customHeight="1" thickTop="1" x14ac:dyDescent="0.15">
      <c r="A534" s="138" t="s">
        <v>67</v>
      </c>
      <c r="B534" s="106">
        <v>21</v>
      </c>
      <c r="C534" s="106">
        <v>12</v>
      </c>
      <c r="D534" s="157" t="s">
        <v>433</v>
      </c>
      <c r="E534" s="106"/>
      <c r="F534" s="88">
        <f>SUM(F531:F533)</f>
        <v>228307.93</v>
      </c>
      <c r="G534" s="88">
        <f t="shared" ref="G534:L534" si="38">SUM(G531:G533)</f>
        <v>92211.41</v>
      </c>
      <c r="H534" s="88">
        <f t="shared" si="38"/>
        <v>4484.04</v>
      </c>
      <c r="I534" s="88">
        <f t="shared" si="38"/>
        <v>635.59</v>
      </c>
      <c r="J534" s="88">
        <f t="shared" si="38"/>
        <v>0</v>
      </c>
      <c r="K534" s="88">
        <f t="shared" si="38"/>
        <v>52139.26</v>
      </c>
      <c r="L534" s="88">
        <f t="shared" si="38"/>
        <v>377778.23</v>
      </c>
      <c r="M534" s="8"/>
      <c r="N534" s="271"/>
    </row>
    <row r="535" spans="1:14" s="3" customFormat="1" ht="12" customHeight="1" x14ac:dyDescent="0.15">
      <c r="A535" s="96" t="s">
        <v>68</v>
      </c>
      <c r="B535" s="104"/>
      <c r="C535" s="104"/>
      <c r="D535" s="104"/>
      <c r="E535" s="104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71"/>
    </row>
    <row r="536" spans="1:14" s="3" customFormat="1" ht="12" customHeight="1" x14ac:dyDescent="0.15">
      <c r="A536" s="22" t="s">
        <v>637</v>
      </c>
      <c r="B536" s="104">
        <v>21</v>
      </c>
      <c r="C536" s="104">
        <v>13</v>
      </c>
      <c r="D536" s="2" t="s">
        <v>433</v>
      </c>
      <c r="E536" s="104"/>
      <c r="F536" s="18"/>
      <c r="G536" s="18"/>
      <c r="H536" s="18"/>
      <c r="I536" s="18"/>
      <c r="J536" s="18"/>
      <c r="K536" s="18"/>
      <c r="L536" s="87">
        <f>SUM(F536:K536)</f>
        <v>0</v>
      </c>
      <c r="M536" s="8"/>
      <c r="N536" s="271"/>
    </row>
    <row r="537" spans="1:14" s="3" customFormat="1" ht="12" customHeight="1" x14ac:dyDescent="0.15">
      <c r="A537" s="22" t="s">
        <v>638</v>
      </c>
      <c r="B537" s="104">
        <v>21</v>
      </c>
      <c r="C537" s="104">
        <v>14</v>
      </c>
      <c r="D537" s="2" t="s">
        <v>433</v>
      </c>
      <c r="E537" s="104"/>
      <c r="F537" s="18"/>
      <c r="G537" s="18"/>
      <c r="H537" s="18"/>
      <c r="I537" s="18"/>
      <c r="J537" s="18"/>
      <c r="K537" s="18"/>
      <c r="L537" s="87">
        <f>SUM(F537:K537)</f>
        <v>0</v>
      </c>
      <c r="M537" s="8"/>
      <c r="N537" s="271"/>
    </row>
    <row r="538" spans="1:14" s="3" customFormat="1" ht="12" customHeight="1" thickBot="1" x14ac:dyDescent="0.2">
      <c r="A538" s="22" t="s">
        <v>639</v>
      </c>
      <c r="B538" s="104">
        <v>21</v>
      </c>
      <c r="C538" s="104">
        <v>15</v>
      </c>
      <c r="D538" s="2" t="s">
        <v>433</v>
      </c>
      <c r="E538" s="104"/>
      <c r="F538" s="18"/>
      <c r="G538" s="18"/>
      <c r="H538" s="18"/>
      <c r="I538" s="18"/>
      <c r="J538" s="18"/>
      <c r="K538" s="18"/>
      <c r="L538" s="87">
        <f>SUM(F538:K538)</f>
        <v>0</v>
      </c>
      <c r="M538" s="8"/>
      <c r="N538" s="271"/>
    </row>
    <row r="539" spans="1:14" s="3" customFormat="1" ht="12" customHeight="1" thickTop="1" x14ac:dyDescent="0.15">
      <c r="A539" s="138" t="s">
        <v>69</v>
      </c>
      <c r="B539" s="106">
        <v>21</v>
      </c>
      <c r="C539" s="106">
        <v>16</v>
      </c>
      <c r="D539" s="157" t="s">
        <v>433</v>
      </c>
      <c r="E539" s="106"/>
      <c r="F539" s="88">
        <f>SUM(F536:F538)</f>
        <v>0</v>
      </c>
      <c r="G539" s="88">
        <f t="shared" ref="G539:L539" si="39">SUM(G536:G538)</f>
        <v>0</v>
      </c>
      <c r="H539" s="88">
        <f t="shared" si="39"/>
        <v>0</v>
      </c>
      <c r="I539" s="88">
        <f t="shared" si="39"/>
        <v>0</v>
      </c>
      <c r="J539" s="88">
        <f t="shared" si="39"/>
        <v>0</v>
      </c>
      <c r="K539" s="88">
        <f t="shared" si="39"/>
        <v>0</v>
      </c>
      <c r="L539" s="88">
        <f t="shared" si="39"/>
        <v>0</v>
      </c>
      <c r="M539" s="8"/>
      <c r="N539" s="271"/>
    </row>
    <row r="540" spans="1:14" s="3" customFormat="1" ht="12" customHeight="1" x14ac:dyDescent="0.15">
      <c r="A540" s="96" t="s">
        <v>70</v>
      </c>
      <c r="B540" s="104"/>
      <c r="C540" s="104"/>
      <c r="D540" s="104"/>
      <c r="E540" s="104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1"/>
    </row>
    <row r="541" spans="1:14" s="3" customFormat="1" ht="12" customHeight="1" x14ac:dyDescent="0.15">
      <c r="A541" s="22" t="s">
        <v>637</v>
      </c>
      <c r="B541" s="104">
        <v>21</v>
      </c>
      <c r="C541" s="104">
        <v>17</v>
      </c>
      <c r="D541" s="2" t="s">
        <v>433</v>
      </c>
      <c r="E541" s="104"/>
      <c r="F541" s="18">
        <v>15971.98</v>
      </c>
      <c r="G541" s="18">
        <v>7136.54</v>
      </c>
      <c r="H541" s="18">
        <v>109058.28</v>
      </c>
      <c r="I541" s="18">
        <v>4090.38</v>
      </c>
      <c r="J541" s="18"/>
      <c r="K541" s="18"/>
      <c r="L541" s="87">
        <f>SUM(F541:K541)</f>
        <v>136257.18</v>
      </c>
      <c r="M541" s="8"/>
      <c r="N541" s="271"/>
    </row>
    <row r="542" spans="1:14" s="3" customFormat="1" ht="12" customHeight="1" x14ac:dyDescent="0.15">
      <c r="A542" s="22" t="s">
        <v>638</v>
      </c>
      <c r="B542" s="104">
        <v>21</v>
      </c>
      <c r="C542" s="104">
        <v>18</v>
      </c>
      <c r="D542" s="2" t="s">
        <v>433</v>
      </c>
      <c r="E542" s="104"/>
      <c r="F542" s="18"/>
      <c r="G542" s="18"/>
      <c r="H542" s="18"/>
      <c r="I542" s="18"/>
      <c r="J542" s="18"/>
      <c r="K542" s="18"/>
      <c r="L542" s="87">
        <f>SUM(F542:K542)</f>
        <v>0</v>
      </c>
      <c r="M542" s="8"/>
      <c r="N542" s="271"/>
    </row>
    <row r="543" spans="1:14" s="3" customFormat="1" ht="12" customHeight="1" thickBot="1" x14ac:dyDescent="0.2">
      <c r="A543" s="22" t="s">
        <v>639</v>
      </c>
      <c r="B543" s="104">
        <v>21</v>
      </c>
      <c r="C543" s="104">
        <v>19</v>
      </c>
      <c r="D543" s="2" t="s">
        <v>433</v>
      </c>
      <c r="E543" s="104"/>
      <c r="F543" s="18">
        <v>7866.79</v>
      </c>
      <c r="G543" s="18">
        <v>3515.01</v>
      </c>
      <c r="H543" s="18">
        <v>8274.42</v>
      </c>
      <c r="I543" s="18">
        <v>2014.66</v>
      </c>
      <c r="J543" s="18"/>
      <c r="K543" s="18"/>
      <c r="L543" s="87">
        <f>SUM(F543:K543)</f>
        <v>21670.880000000001</v>
      </c>
      <c r="M543" s="8"/>
      <c r="N543" s="271"/>
    </row>
    <row r="544" spans="1:14" s="3" customFormat="1" ht="12" customHeight="1" thickTop="1" thickBot="1" x14ac:dyDescent="0.2">
      <c r="A544" s="129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23838.77</v>
      </c>
      <c r="G544" s="192">
        <f t="shared" ref="G544:L544" si="40">SUM(G541:G543)</f>
        <v>10651.55</v>
      </c>
      <c r="H544" s="192">
        <f t="shared" si="40"/>
        <v>117332.7</v>
      </c>
      <c r="I544" s="192">
        <f t="shared" si="40"/>
        <v>6105.04</v>
      </c>
      <c r="J544" s="192">
        <f t="shared" si="40"/>
        <v>0</v>
      </c>
      <c r="K544" s="192">
        <f t="shared" si="40"/>
        <v>0</v>
      </c>
      <c r="L544" s="192">
        <f t="shared" si="40"/>
        <v>157928.06</v>
      </c>
      <c r="M544" s="8"/>
      <c r="N544" s="271"/>
    </row>
    <row r="545" spans="1:14" s="3" customFormat="1" ht="12" customHeight="1" thickTop="1" x14ac:dyDescent="0.15">
      <c r="A545" s="97" t="s">
        <v>72</v>
      </c>
      <c r="B545" s="106">
        <v>21</v>
      </c>
      <c r="C545" s="106">
        <v>21</v>
      </c>
      <c r="D545" s="157" t="s">
        <v>433</v>
      </c>
      <c r="E545" s="106"/>
      <c r="F545" s="88">
        <f>F524+F529+F534+F539+F544</f>
        <v>2284512.0100000002</v>
      </c>
      <c r="G545" s="88">
        <f t="shared" ref="G545:L545" si="41">G524+G529+G534+G539+G544</f>
        <v>1119595.92</v>
      </c>
      <c r="H545" s="88">
        <f t="shared" si="41"/>
        <v>470603.08999999997</v>
      </c>
      <c r="I545" s="88">
        <f t="shared" si="41"/>
        <v>135937.84</v>
      </c>
      <c r="J545" s="88">
        <f t="shared" si="41"/>
        <v>13315.89</v>
      </c>
      <c r="K545" s="88">
        <f t="shared" si="41"/>
        <v>53016.800000000003</v>
      </c>
      <c r="L545" s="88">
        <f t="shared" si="41"/>
        <v>4076981.55</v>
      </c>
      <c r="M545" s="8"/>
      <c r="N545" s="271"/>
    </row>
    <row r="546" spans="1:14" s="3" customFormat="1" ht="1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71"/>
    </row>
    <row r="547" spans="1:14" s="3" customFormat="1" ht="1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289</v>
      </c>
      <c r="M547" s="8"/>
      <c r="N547" s="271"/>
    </row>
    <row r="548" spans="1:14" s="3" customFormat="1" ht="1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289</v>
      </c>
      <c r="M548" s="8"/>
      <c r="N548" s="271"/>
    </row>
    <row r="549" spans="1:14" s="3" customFormat="1" ht="12" customHeight="1" x14ac:dyDescent="0.15">
      <c r="A549" s="22" t="s">
        <v>637</v>
      </c>
      <c r="B549" s="74">
        <v>21</v>
      </c>
      <c r="C549" s="74">
        <v>22</v>
      </c>
      <c r="D549" s="2" t="s">
        <v>433</v>
      </c>
      <c r="E549" s="74"/>
      <c r="F549" s="86">
        <f>L521</f>
        <v>1589287.38</v>
      </c>
      <c r="G549" s="86">
        <f>L526</f>
        <v>956306.54999999993</v>
      </c>
      <c r="H549" s="86">
        <f>L531</f>
        <v>261447.87</v>
      </c>
      <c r="I549" s="86">
        <f>L536</f>
        <v>0</v>
      </c>
      <c r="J549" s="86">
        <f>L541</f>
        <v>136257.18</v>
      </c>
      <c r="K549" s="86">
        <f>SUM(F549:J549)</f>
        <v>2943298.98</v>
      </c>
      <c r="L549" s="24" t="s">
        <v>289</v>
      </c>
      <c r="M549" s="8"/>
      <c r="N549" s="271"/>
    </row>
    <row r="550" spans="1:14" s="3" customFormat="1" ht="12" customHeight="1" x14ac:dyDescent="0.15">
      <c r="A550" s="22" t="s">
        <v>638</v>
      </c>
      <c r="B550" s="74">
        <v>21</v>
      </c>
      <c r="C550" s="74">
        <v>23</v>
      </c>
      <c r="D550" s="2" t="s">
        <v>433</v>
      </c>
      <c r="E550" s="74"/>
      <c r="F550" s="86">
        <f>L522</f>
        <v>0</v>
      </c>
      <c r="G550" s="86">
        <f>L527</f>
        <v>0</v>
      </c>
      <c r="H550" s="86">
        <f>L532</f>
        <v>0</v>
      </c>
      <c r="I550" s="86">
        <f>L537</f>
        <v>0</v>
      </c>
      <c r="J550" s="86">
        <f>L542</f>
        <v>0</v>
      </c>
      <c r="K550" s="86">
        <f>SUM(F550:J550)</f>
        <v>0</v>
      </c>
      <c r="L550" s="24" t="s">
        <v>289</v>
      </c>
      <c r="M550" s="8"/>
      <c r="N550" s="271"/>
    </row>
    <row r="551" spans="1:14" s="3" customFormat="1" ht="12" customHeight="1" thickBot="1" x14ac:dyDescent="0.2">
      <c r="A551" s="22" t="s">
        <v>639</v>
      </c>
      <c r="B551" s="74">
        <v>21</v>
      </c>
      <c r="C551" s="74">
        <v>24</v>
      </c>
      <c r="D551" s="2" t="s">
        <v>433</v>
      </c>
      <c r="E551" s="74"/>
      <c r="F551" s="86">
        <f>L523</f>
        <v>741192.9700000002</v>
      </c>
      <c r="G551" s="86">
        <f>L528</f>
        <v>254488.36</v>
      </c>
      <c r="H551" s="86">
        <f>L533</f>
        <v>116330.36</v>
      </c>
      <c r="I551" s="86">
        <f>L538</f>
        <v>0</v>
      </c>
      <c r="J551" s="86">
        <f>L543</f>
        <v>21670.880000000001</v>
      </c>
      <c r="K551" s="86">
        <f>SUM(F551:J551)</f>
        <v>1133682.57</v>
      </c>
      <c r="L551" s="24" t="s">
        <v>289</v>
      </c>
      <c r="M551" s="8"/>
      <c r="N551" s="271"/>
    </row>
    <row r="552" spans="1:14" s="3" customFormat="1" ht="12" customHeight="1" thickTop="1" x14ac:dyDescent="0.15">
      <c r="A552" s="171" t="s">
        <v>341</v>
      </c>
      <c r="B552" s="44">
        <v>21</v>
      </c>
      <c r="C552" s="44">
        <v>25</v>
      </c>
      <c r="D552" s="39" t="s">
        <v>433</v>
      </c>
      <c r="E552" s="44"/>
      <c r="F552" s="88">
        <f t="shared" ref="F552:K552" si="42">SUM(F549:F551)</f>
        <v>2330480.35</v>
      </c>
      <c r="G552" s="88">
        <f t="shared" si="42"/>
        <v>1210794.9099999999</v>
      </c>
      <c r="H552" s="88">
        <f t="shared" si="42"/>
        <v>377778.23</v>
      </c>
      <c r="I552" s="88">
        <f t="shared" si="42"/>
        <v>0</v>
      </c>
      <c r="J552" s="88">
        <f t="shared" si="42"/>
        <v>157928.06</v>
      </c>
      <c r="K552" s="88">
        <f t="shared" si="42"/>
        <v>4076981.55</v>
      </c>
      <c r="L552" s="24"/>
      <c r="M552" s="8"/>
      <c r="N552" s="271"/>
    </row>
    <row r="553" spans="1:14" s="3" customFormat="1" ht="12" customHeight="1" x14ac:dyDescent="0.15">
      <c r="A553" s="95" t="s">
        <v>583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71"/>
    </row>
    <row r="554" spans="1:14" s="3" customFormat="1" ht="12" customHeight="1" x14ac:dyDescent="0.15">
      <c r="B554" s="104"/>
      <c r="C554" s="114"/>
      <c r="D554" s="114"/>
      <c r="E554" s="114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5"/>
      <c r="M554" s="8"/>
      <c r="N554" s="271"/>
    </row>
    <row r="555" spans="1:14" s="3" customFormat="1" ht="1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71"/>
    </row>
    <row r="556" spans="1:14" s="3" customFormat="1" ht="12" customHeight="1" x14ac:dyDescent="0.15">
      <c r="A556" s="95" t="s">
        <v>85</v>
      </c>
      <c r="B556" s="104"/>
      <c r="C556" s="114"/>
      <c r="D556" s="114"/>
      <c r="E556" s="114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1"/>
    </row>
    <row r="557" spans="1:14" s="3" customFormat="1" ht="12" customHeight="1" x14ac:dyDescent="0.15">
      <c r="A557" s="22" t="s">
        <v>637</v>
      </c>
      <c r="B557" s="104">
        <v>22</v>
      </c>
      <c r="C557" s="114">
        <v>1</v>
      </c>
      <c r="D557" s="2" t="s">
        <v>433</v>
      </c>
      <c r="E557" s="114"/>
      <c r="F557" s="18"/>
      <c r="G557" s="18"/>
      <c r="H557" s="18"/>
      <c r="I557" s="18"/>
      <c r="J557" s="18"/>
      <c r="K557" s="18"/>
      <c r="L557" s="87">
        <f>SUM(F557:K557)</f>
        <v>0</v>
      </c>
      <c r="M557" s="8"/>
      <c r="N557" s="271"/>
    </row>
    <row r="558" spans="1:14" s="3" customFormat="1" ht="12" customHeight="1" x14ac:dyDescent="0.15">
      <c r="A558" s="22" t="s">
        <v>638</v>
      </c>
      <c r="B558" s="104">
        <v>22</v>
      </c>
      <c r="C558" s="114">
        <v>2</v>
      </c>
      <c r="D558" s="2" t="s">
        <v>433</v>
      </c>
      <c r="E558" s="114"/>
      <c r="F558" s="18"/>
      <c r="G558" s="18"/>
      <c r="H558" s="18"/>
      <c r="I558" s="18"/>
      <c r="J558" s="18"/>
      <c r="K558" s="18"/>
      <c r="L558" s="87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639</v>
      </c>
      <c r="B559" s="104">
        <v>22</v>
      </c>
      <c r="C559" s="114">
        <v>3</v>
      </c>
      <c r="D559" s="2" t="s">
        <v>433</v>
      </c>
      <c r="E559" s="114"/>
      <c r="F559" s="18"/>
      <c r="G559" s="18"/>
      <c r="H559" s="18"/>
      <c r="I559" s="18"/>
      <c r="J559" s="18"/>
      <c r="K559" s="18"/>
      <c r="L559" s="87">
        <f>SUM(F559:K559)</f>
        <v>0</v>
      </c>
      <c r="M559" s="8"/>
      <c r="N559" s="271"/>
    </row>
    <row r="560" spans="1:14" s="3" customFormat="1" ht="12" customHeight="1" thickTop="1" x14ac:dyDescent="0.15">
      <c r="A560" s="138" t="s">
        <v>63</v>
      </c>
      <c r="B560" s="106">
        <v>22</v>
      </c>
      <c r="C560" s="194">
        <v>4</v>
      </c>
      <c r="D560" s="195" t="s">
        <v>433</v>
      </c>
      <c r="E560" s="194"/>
      <c r="F560" s="107">
        <f t="shared" ref="F560:L560" si="43">SUM(F557:F559)</f>
        <v>0</v>
      </c>
      <c r="G560" s="107">
        <f t="shared" si="43"/>
        <v>0</v>
      </c>
      <c r="H560" s="107">
        <f t="shared" si="43"/>
        <v>0</v>
      </c>
      <c r="I560" s="107">
        <f t="shared" si="43"/>
        <v>0</v>
      </c>
      <c r="J560" s="107">
        <f t="shared" si="43"/>
        <v>0</v>
      </c>
      <c r="K560" s="107">
        <f t="shared" si="43"/>
        <v>0</v>
      </c>
      <c r="L560" s="88">
        <f t="shared" si="43"/>
        <v>0</v>
      </c>
      <c r="M560" s="8"/>
      <c r="N560" s="271"/>
    </row>
    <row r="561" spans="1:14" s="3" customFormat="1" ht="12" customHeight="1" x14ac:dyDescent="0.15">
      <c r="A561" s="95" t="s">
        <v>86</v>
      </c>
      <c r="B561" s="104"/>
      <c r="C561" s="114"/>
      <c r="D561" s="114"/>
      <c r="E561" s="114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1"/>
    </row>
    <row r="562" spans="1:14" s="3" customFormat="1" ht="12" customHeight="1" x14ac:dyDescent="0.15">
      <c r="A562" s="22" t="s">
        <v>637</v>
      </c>
      <c r="B562" s="104">
        <v>22</v>
      </c>
      <c r="C562" s="114">
        <v>5</v>
      </c>
      <c r="D562" s="2" t="s">
        <v>433</v>
      </c>
      <c r="E562" s="114"/>
      <c r="F562" s="18">
        <v>27871.33</v>
      </c>
      <c r="G562" s="18">
        <v>18794.61</v>
      </c>
      <c r="H562" s="18">
        <v>471.21</v>
      </c>
      <c r="I562" s="18"/>
      <c r="J562" s="18"/>
      <c r="K562" s="18"/>
      <c r="L562" s="87">
        <f>SUM(F562:K562)</f>
        <v>47137.15</v>
      </c>
      <c r="M562" s="8"/>
      <c r="N562" s="271"/>
    </row>
    <row r="563" spans="1:14" s="3" customFormat="1" ht="12" customHeight="1" x14ac:dyDescent="0.15">
      <c r="A563" s="22" t="s">
        <v>638</v>
      </c>
      <c r="B563" s="104">
        <v>22</v>
      </c>
      <c r="C563" s="114">
        <v>6</v>
      </c>
      <c r="D563" s="2" t="s">
        <v>433</v>
      </c>
      <c r="E563" s="114"/>
      <c r="F563" s="18"/>
      <c r="G563" s="18"/>
      <c r="H563" s="18"/>
      <c r="I563" s="18"/>
      <c r="J563" s="18"/>
      <c r="K563" s="18"/>
      <c r="L563" s="87">
        <f>SUM(F563:K563)</f>
        <v>0</v>
      </c>
      <c r="M563" s="8"/>
      <c r="N563" s="271"/>
    </row>
    <row r="564" spans="1:14" s="3" customFormat="1" ht="12" customHeight="1" thickBot="1" x14ac:dyDescent="0.2">
      <c r="A564" s="22" t="s">
        <v>639</v>
      </c>
      <c r="B564" s="104">
        <v>22</v>
      </c>
      <c r="C564" s="117">
        <v>7</v>
      </c>
      <c r="D564" s="2" t="s">
        <v>433</v>
      </c>
      <c r="E564" s="117"/>
      <c r="F564" s="18">
        <v>13727.67</v>
      </c>
      <c r="G564" s="18">
        <v>9257.0499999999993</v>
      </c>
      <c r="H564" s="18">
        <v>232.09</v>
      </c>
      <c r="I564" s="18"/>
      <c r="J564" s="18"/>
      <c r="K564" s="18"/>
      <c r="L564" s="87">
        <f>SUM(F564:K564)</f>
        <v>23216.81</v>
      </c>
      <c r="M564" s="8"/>
      <c r="N564" s="271"/>
    </row>
    <row r="565" spans="1:14" s="3" customFormat="1" ht="12" customHeight="1" thickTop="1" x14ac:dyDescent="0.15">
      <c r="A565" s="138" t="s">
        <v>65</v>
      </c>
      <c r="B565" s="106">
        <v>22</v>
      </c>
      <c r="C565" s="106">
        <v>8</v>
      </c>
      <c r="D565" s="195" t="s">
        <v>433</v>
      </c>
      <c r="E565" s="106"/>
      <c r="F565" s="88">
        <f t="shared" ref="F565:L565" si="44">SUM(F562:F564)</f>
        <v>41599</v>
      </c>
      <c r="G565" s="88">
        <f t="shared" si="44"/>
        <v>28051.66</v>
      </c>
      <c r="H565" s="88">
        <f t="shared" si="44"/>
        <v>703.3</v>
      </c>
      <c r="I565" s="88">
        <f t="shared" si="44"/>
        <v>0</v>
      </c>
      <c r="J565" s="88">
        <f t="shared" si="44"/>
        <v>0</v>
      </c>
      <c r="K565" s="88">
        <f t="shared" si="44"/>
        <v>0</v>
      </c>
      <c r="L565" s="88">
        <f t="shared" si="44"/>
        <v>70353.960000000006</v>
      </c>
      <c r="M565" s="8"/>
      <c r="N565" s="271"/>
    </row>
    <row r="566" spans="1:14" s="3" customFormat="1" ht="12" customHeight="1" x14ac:dyDescent="0.15">
      <c r="A566" s="96" t="s">
        <v>87</v>
      </c>
      <c r="B566" s="104"/>
      <c r="C566" s="104"/>
      <c r="D566" s="104"/>
      <c r="E566" s="104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1"/>
    </row>
    <row r="567" spans="1:14" s="3" customFormat="1" ht="12" customHeight="1" x14ac:dyDescent="0.15">
      <c r="A567" s="22" t="s">
        <v>637</v>
      </c>
      <c r="B567" s="104">
        <v>22</v>
      </c>
      <c r="C567" s="104">
        <v>9</v>
      </c>
      <c r="D567" s="2" t="s">
        <v>433</v>
      </c>
      <c r="E567" s="104"/>
      <c r="F567" s="18"/>
      <c r="G567" s="18"/>
      <c r="H567" s="18"/>
      <c r="I567" s="18"/>
      <c r="J567" s="18"/>
      <c r="K567" s="18"/>
      <c r="L567" s="87">
        <f>SUM(F567:K567)</f>
        <v>0</v>
      </c>
      <c r="M567" s="8"/>
      <c r="N567" s="271"/>
    </row>
    <row r="568" spans="1:14" s="3" customFormat="1" ht="12" customHeight="1" x14ac:dyDescent="0.15">
      <c r="A568" s="22" t="s">
        <v>638</v>
      </c>
      <c r="B568" s="104">
        <v>22</v>
      </c>
      <c r="C568" s="104">
        <v>10</v>
      </c>
      <c r="D568" s="2" t="s">
        <v>433</v>
      </c>
      <c r="E568" s="104"/>
      <c r="F568" s="18"/>
      <c r="G568" s="18"/>
      <c r="H568" s="18"/>
      <c r="I568" s="18"/>
      <c r="J568" s="18"/>
      <c r="K568" s="18"/>
      <c r="L568" s="87">
        <f>SUM(F568:K568)</f>
        <v>0</v>
      </c>
      <c r="M568" s="8"/>
      <c r="N568" s="271"/>
    </row>
    <row r="569" spans="1:14" s="3" customFormat="1" ht="12" customHeight="1" thickBot="1" x14ac:dyDescent="0.2">
      <c r="A569" s="22" t="s">
        <v>639</v>
      </c>
      <c r="B569" s="104">
        <v>22</v>
      </c>
      <c r="C569" s="104">
        <v>11</v>
      </c>
      <c r="D569" s="2" t="s">
        <v>433</v>
      </c>
      <c r="E569" s="104"/>
      <c r="F569" s="18"/>
      <c r="G569" s="18"/>
      <c r="H569" s="18"/>
      <c r="I569" s="18"/>
      <c r="J569" s="18"/>
      <c r="K569" s="18"/>
      <c r="L569" s="87">
        <f>SUM(F569:K569)</f>
        <v>0</v>
      </c>
      <c r="M569" s="8"/>
      <c r="N569" s="271"/>
    </row>
    <row r="570" spans="1:14" s="3" customFormat="1" ht="12" customHeight="1" thickTop="1" thickBot="1" x14ac:dyDescent="0.2">
      <c r="A570" s="129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" customHeight="1" thickTop="1" x14ac:dyDescent="0.15">
      <c r="A571" s="97" t="s">
        <v>88</v>
      </c>
      <c r="B571" s="106">
        <v>22</v>
      </c>
      <c r="C571" s="106">
        <v>13</v>
      </c>
      <c r="D571" s="157" t="s">
        <v>433</v>
      </c>
      <c r="E571" s="106"/>
      <c r="F571" s="88">
        <f>F560+F565+F570</f>
        <v>41599</v>
      </c>
      <c r="G571" s="88">
        <f t="shared" ref="G571:L571" si="46">G560+G565+G570</f>
        <v>28051.66</v>
      </c>
      <c r="H571" s="88">
        <f t="shared" si="46"/>
        <v>703.3</v>
      </c>
      <c r="I571" s="88">
        <f t="shared" si="46"/>
        <v>0</v>
      </c>
      <c r="J571" s="88">
        <f t="shared" si="46"/>
        <v>0</v>
      </c>
      <c r="K571" s="88">
        <f t="shared" si="46"/>
        <v>0</v>
      </c>
      <c r="L571" s="88">
        <f t="shared" si="46"/>
        <v>70353.960000000006</v>
      </c>
      <c r="M571" s="8"/>
      <c r="N571" s="271"/>
    </row>
    <row r="572" spans="1:14" s="3" customFormat="1" ht="1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71"/>
    </row>
    <row r="573" spans="1:14" s="3" customFormat="1" ht="12" customHeight="1" x14ac:dyDescent="0.15">
      <c r="A573" s="96" t="s">
        <v>775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71"/>
    </row>
    <row r="574" spans="1:14" s="3" customFormat="1" ht="1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8" t="s">
        <v>673</v>
      </c>
      <c r="B575" s="74">
        <v>22</v>
      </c>
      <c r="C575" s="74">
        <v>14</v>
      </c>
      <c r="D575" s="2" t="s">
        <v>433</v>
      </c>
      <c r="E575" s="74">
        <v>561</v>
      </c>
      <c r="F575" s="18"/>
      <c r="G575" s="18"/>
      <c r="H575" s="18"/>
      <c r="I575" s="86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8" t="s">
        <v>674</v>
      </c>
      <c r="B576" s="74">
        <v>22</v>
      </c>
      <c r="C576" s="74">
        <v>15</v>
      </c>
      <c r="D576" s="2" t="s">
        <v>433</v>
      </c>
      <c r="E576" s="74">
        <v>562</v>
      </c>
      <c r="F576" s="18"/>
      <c r="G576" s="18"/>
      <c r="H576" s="18"/>
      <c r="I576" s="86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8" t="s">
        <v>744</v>
      </c>
      <c r="B577" s="74">
        <v>22</v>
      </c>
      <c r="C577" s="74">
        <v>16</v>
      </c>
      <c r="D577" s="2" t="s">
        <v>433</v>
      </c>
      <c r="E577" s="74">
        <v>563</v>
      </c>
      <c r="F577" s="24" t="s">
        <v>289</v>
      </c>
      <c r="G577" s="24" t="s">
        <v>289</v>
      </c>
      <c r="H577" s="18"/>
      <c r="I577" s="86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8" t="s">
        <v>678</v>
      </c>
      <c r="B578" s="74">
        <v>22</v>
      </c>
      <c r="C578" s="74">
        <v>17</v>
      </c>
      <c r="D578" s="2" t="s">
        <v>433</v>
      </c>
      <c r="E578" s="74">
        <v>564</v>
      </c>
      <c r="F578" s="18"/>
      <c r="G578" s="18"/>
      <c r="H578" s="18"/>
      <c r="I578" s="86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1"/>
    </row>
    <row r="579" spans="1:14" s="3" customFormat="1" ht="12" customHeight="1" x14ac:dyDescent="0.15">
      <c r="A579" s="98" t="s">
        <v>675</v>
      </c>
      <c r="B579" s="74">
        <v>22</v>
      </c>
      <c r="C579" s="74">
        <v>18</v>
      </c>
      <c r="D579" s="2" t="s">
        <v>433</v>
      </c>
      <c r="E579" s="74">
        <v>561</v>
      </c>
      <c r="F579" s="18">
        <v>12777.88</v>
      </c>
      <c r="G579" s="18"/>
      <c r="H579" s="18">
        <v>28472.45</v>
      </c>
      <c r="I579" s="86">
        <f t="shared" si="47"/>
        <v>41250.33</v>
      </c>
      <c r="J579" s="24" t="s">
        <v>289</v>
      </c>
      <c r="K579" s="24" t="s">
        <v>289</v>
      </c>
      <c r="L579" s="24" t="s">
        <v>289</v>
      </c>
      <c r="M579" s="8"/>
      <c r="N579" s="271"/>
    </row>
    <row r="580" spans="1:14" s="3" customFormat="1" ht="12" customHeight="1" x14ac:dyDescent="0.15">
      <c r="A580" s="98" t="s">
        <v>676</v>
      </c>
      <c r="B580" s="74">
        <v>22</v>
      </c>
      <c r="C580" s="74">
        <v>19</v>
      </c>
      <c r="D580" s="2" t="s">
        <v>433</v>
      </c>
      <c r="E580" s="74">
        <v>562</v>
      </c>
      <c r="F580" s="18"/>
      <c r="G580" s="18"/>
      <c r="H580" s="18"/>
      <c r="I580" s="86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5" t="s">
        <v>745</v>
      </c>
      <c r="B581" s="74">
        <v>22</v>
      </c>
      <c r="C581" s="74">
        <v>20</v>
      </c>
      <c r="D581" s="2" t="s">
        <v>433</v>
      </c>
      <c r="E581" s="74">
        <v>563</v>
      </c>
      <c r="F581" s="24" t="s">
        <v>289</v>
      </c>
      <c r="G581" s="24" t="s">
        <v>289</v>
      </c>
      <c r="H581" s="18"/>
      <c r="I581" s="86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5" t="s">
        <v>677</v>
      </c>
      <c r="B582" s="74">
        <v>22</v>
      </c>
      <c r="C582" s="74">
        <v>21</v>
      </c>
      <c r="D582" s="2" t="s">
        <v>433</v>
      </c>
      <c r="E582" s="74">
        <v>564</v>
      </c>
      <c r="F582" s="18">
        <v>10404.219999999999</v>
      </c>
      <c r="G582" s="18"/>
      <c r="H582" s="18">
        <v>106265.2</v>
      </c>
      <c r="I582" s="86">
        <f t="shared" si="47"/>
        <v>116669.42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145" t="s">
        <v>640</v>
      </c>
      <c r="B583" s="74">
        <v>22</v>
      </c>
      <c r="C583" s="74">
        <v>22</v>
      </c>
      <c r="D583" s="2" t="s">
        <v>433</v>
      </c>
      <c r="E583" s="74">
        <v>569</v>
      </c>
      <c r="F583" s="18">
        <v>8060.64</v>
      </c>
      <c r="G583" s="18"/>
      <c r="H583" s="18">
        <v>36729.49</v>
      </c>
      <c r="I583" s="86">
        <f t="shared" si="47"/>
        <v>44790.13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679</v>
      </c>
      <c r="B584" s="74">
        <v>22</v>
      </c>
      <c r="C584" s="74">
        <v>23</v>
      </c>
      <c r="D584" s="2" t="s">
        <v>433</v>
      </c>
      <c r="E584" s="74">
        <v>561</v>
      </c>
      <c r="F584" s="18"/>
      <c r="G584" s="18"/>
      <c r="H584" s="18">
        <v>31886.85</v>
      </c>
      <c r="I584" s="86">
        <f t="shared" si="47"/>
        <v>31886.85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680</v>
      </c>
      <c r="B585" s="74">
        <v>22</v>
      </c>
      <c r="C585" s="74">
        <v>24</v>
      </c>
      <c r="D585" s="2" t="s">
        <v>433</v>
      </c>
      <c r="E585" s="74">
        <v>562</v>
      </c>
      <c r="F585" s="18"/>
      <c r="G585" s="18"/>
      <c r="H585" s="18"/>
      <c r="I585" s="86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746</v>
      </c>
      <c r="B586" s="74">
        <v>22</v>
      </c>
      <c r="C586" s="74">
        <v>25</v>
      </c>
      <c r="D586" s="2" t="s">
        <v>433</v>
      </c>
      <c r="E586" s="74">
        <v>563</v>
      </c>
      <c r="F586" s="24" t="s">
        <v>289</v>
      </c>
      <c r="G586" s="24" t="s">
        <v>289</v>
      </c>
      <c r="H586" s="18"/>
      <c r="I586" s="86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22" t="s">
        <v>681</v>
      </c>
      <c r="B587" s="74">
        <v>22</v>
      </c>
      <c r="C587" s="74">
        <v>26</v>
      </c>
      <c r="D587" s="2" t="s">
        <v>433</v>
      </c>
      <c r="E587" s="74">
        <v>564</v>
      </c>
      <c r="F587" s="18"/>
      <c r="G587" s="18"/>
      <c r="H587" s="18"/>
      <c r="I587" s="86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1"/>
    </row>
    <row r="588" spans="1:14" s="3" customFormat="1" ht="12" customHeight="1" x14ac:dyDescent="0.15">
      <c r="A588" s="172" t="s">
        <v>747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71"/>
    </row>
    <row r="589" spans="1:14" s="3" customFormat="1" ht="12" customHeight="1" x14ac:dyDescent="0.15">
      <c r="A589" s="146" t="s">
        <v>658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71"/>
    </row>
    <row r="590" spans="1:14" s="3" customFormat="1" ht="1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71"/>
    </row>
    <row r="591" spans="1:14" s="3" customFormat="1" ht="12" customHeight="1" x14ac:dyDescent="0.15">
      <c r="A591" s="3" t="s">
        <v>641</v>
      </c>
      <c r="B591" s="74">
        <v>23</v>
      </c>
      <c r="C591" s="74">
        <v>1</v>
      </c>
      <c r="D591" s="2" t="s">
        <v>433</v>
      </c>
      <c r="E591" s="74"/>
      <c r="F591" s="101">
        <v>2721</v>
      </c>
      <c r="G591" s="102" t="s">
        <v>97</v>
      </c>
      <c r="H591" s="18">
        <v>491060.56</v>
      </c>
      <c r="I591" s="18"/>
      <c r="J591" s="18">
        <v>254032.05</v>
      </c>
      <c r="K591" s="103">
        <f t="shared" ref="K591:K597" si="48">SUM(H591:J591)</f>
        <v>745092.61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642</v>
      </c>
      <c r="B592" s="74">
        <v>23</v>
      </c>
      <c r="C592" s="74">
        <v>2</v>
      </c>
      <c r="D592" s="2" t="s">
        <v>433</v>
      </c>
      <c r="E592" s="74"/>
      <c r="F592" s="101">
        <v>2722</v>
      </c>
      <c r="G592" s="102" t="s">
        <v>97</v>
      </c>
      <c r="H592" s="18">
        <v>132043.87</v>
      </c>
      <c r="I592" s="18"/>
      <c r="J592" s="18">
        <v>19595.669999999998</v>
      </c>
      <c r="K592" s="103">
        <f t="shared" si="48"/>
        <v>151639.53999999998</v>
      </c>
      <c r="L592" s="24" t="s">
        <v>289</v>
      </c>
      <c r="M592" s="8"/>
      <c r="N592" s="271"/>
    </row>
    <row r="593" spans="1:14" s="3" customFormat="1" ht="12" customHeight="1" x14ac:dyDescent="0.15">
      <c r="A593" s="3" t="s">
        <v>643</v>
      </c>
      <c r="B593" s="74">
        <v>23</v>
      </c>
      <c r="C593" s="74">
        <v>3</v>
      </c>
      <c r="D593" s="2" t="s">
        <v>433</v>
      </c>
      <c r="E593" s="74"/>
      <c r="F593" s="101">
        <v>2723</v>
      </c>
      <c r="G593" s="102" t="s">
        <v>97</v>
      </c>
      <c r="H593" s="18"/>
      <c r="I593" s="18"/>
      <c r="J593" s="18">
        <v>35690.629999999997</v>
      </c>
      <c r="K593" s="103">
        <f t="shared" si="48"/>
        <v>35690.629999999997</v>
      </c>
      <c r="L593" s="24" t="s">
        <v>289</v>
      </c>
      <c r="M593" s="8"/>
      <c r="N593" s="271"/>
    </row>
    <row r="594" spans="1:14" s="3" customFormat="1" ht="12" customHeight="1" x14ac:dyDescent="0.15">
      <c r="A594" s="22" t="s">
        <v>644</v>
      </c>
      <c r="B594" s="74">
        <v>23</v>
      </c>
      <c r="C594" s="74">
        <v>4</v>
      </c>
      <c r="D594" s="2" t="s">
        <v>433</v>
      </c>
      <c r="E594" s="74"/>
      <c r="F594" s="101">
        <v>2724</v>
      </c>
      <c r="G594" s="102" t="s">
        <v>97</v>
      </c>
      <c r="H594" s="18">
        <v>23926</v>
      </c>
      <c r="I594" s="18"/>
      <c r="J594" s="18">
        <v>90347.36</v>
      </c>
      <c r="K594" s="103">
        <f t="shared" si="48"/>
        <v>114273.36</v>
      </c>
      <c r="L594" s="24" t="s">
        <v>289</v>
      </c>
      <c r="M594" s="8"/>
      <c r="N594" s="271"/>
    </row>
    <row r="595" spans="1:14" s="3" customFormat="1" ht="12" customHeight="1" x14ac:dyDescent="0.15">
      <c r="A595" s="170" t="s">
        <v>656</v>
      </c>
      <c r="B595" s="74">
        <v>23</v>
      </c>
      <c r="C595" s="74">
        <v>5</v>
      </c>
      <c r="D595" s="2" t="s">
        <v>433</v>
      </c>
      <c r="E595" s="74"/>
      <c r="F595" s="101">
        <v>2725</v>
      </c>
      <c r="G595" s="102" t="s">
        <v>97</v>
      </c>
      <c r="H595" s="18">
        <v>14467.17</v>
      </c>
      <c r="I595" s="18"/>
      <c r="J595" s="18">
        <v>17394.830000000002</v>
      </c>
      <c r="K595" s="103">
        <f t="shared" si="48"/>
        <v>31862</v>
      </c>
      <c r="L595" s="24" t="s">
        <v>289</v>
      </c>
      <c r="M595" s="8"/>
      <c r="N595" s="271"/>
    </row>
    <row r="596" spans="1:14" s="3" customFormat="1" ht="12" customHeight="1" x14ac:dyDescent="0.15">
      <c r="A596" s="22" t="s">
        <v>645</v>
      </c>
      <c r="B596" s="74">
        <v>23</v>
      </c>
      <c r="C596" s="74">
        <v>6</v>
      </c>
      <c r="D596" s="2" t="s">
        <v>433</v>
      </c>
      <c r="E596" s="74"/>
      <c r="F596" s="101">
        <v>2726</v>
      </c>
      <c r="G596" s="102" t="s">
        <v>97</v>
      </c>
      <c r="H596" s="18"/>
      <c r="I596" s="18"/>
      <c r="J596" s="18"/>
      <c r="K596" s="103">
        <f t="shared" si="48"/>
        <v>0</v>
      </c>
      <c r="L596" s="24" t="s">
        <v>289</v>
      </c>
      <c r="M596" s="8"/>
      <c r="N596" s="271"/>
    </row>
    <row r="597" spans="1:14" s="3" customFormat="1" ht="12" customHeight="1" thickBot="1" x14ac:dyDescent="0.2">
      <c r="A597" s="3" t="s">
        <v>659</v>
      </c>
      <c r="B597" s="74">
        <v>23</v>
      </c>
      <c r="C597" s="74">
        <v>7</v>
      </c>
      <c r="D597" s="2" t="s">
        <v>433</v>
      </c>
      <c r="E597" s="74"/>
      <c r="F597" s="101">
        <v>2729</v>
      </c>
      <c r="G597" s="102" t="s">
        <v>97</v>
      </c>
      <c r="H597" s="18">
        <v>4213.3100000000004</v>
      </c>
      <c r="I597" s="18"/>
      <c r="J597" s="18">
        <v>2075.21</v>
      </c>
      <c r="K597" s="103">
        <f t="shared" si="48"/>
        <v>6288.52</v>
      </c>
      <c r="L597" s="24" t="s">
        <v>289</v>
      </c>
      <c r="M597" s="8"/>
      <c r="N597" s="271"/>
    </row>
    <row r="598" spans="1:14" s="3" customFormat="1" ht="12" customHeight="1" thickTop="1" x14ac:dyDescent="0.15">
      <c r="A598" s="97" t="s">
        <v>341</v>
      </c>
      <c r="B598" s="44">
        <v>23</v>
      </c>
      <c r="C598" s="44">
        <v>8</v>
      </c>
      <c r="D598" s="39" t="s">
        <v>433</v>
      </c>
      <c r="E598" s="44"/>
      <c r="F598" s="147">
        <v>2700</v>
      </c>
      <c r="G598" s="148" t="s">
        <v>97</v>
      </c>
      <c r="H598" s="107">
        <f>SUM(H591:H597)</f>
        <v>665710.91</v>
      </c>
      <c r="I598" s="107">
        <f>SUM(I591:I597)</f>
        <v>0</v>
      </c>
      <c r="J598" s="107">
        <f>SUM(J591:J597)</f>
        <v>419135.75</v>
      </c>
      <c r="K598" s="107">
        <f>SUM(K591:K597)</f>
        <v>1084846.6599999999</v>
      </c>
      <c r="L598" s="24" t="s">
        <v>289</v>
      </c>
      <c r="M598" s="8"/>
      <c r="N598" s="271"/>
    </row>
    <row r="599" spans="1:14" s="3" customFormat="1" ht="1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71"/>
    </row>
    <row r="600" spans="1:14" s="3" customFormat="1" ht="1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71"/>
    </row>
    <row r="601" spans="1:14" s="3" customFormat="1" ht="1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71"/>
    </row>
    <row r="602" spans="1:14" s="3" customFormat="1" ht="12" customHeight="1" x14ac:dyDescent="0.15">
      <c r="A602" s="22" t="s">
        <v>646</v>
      </c>
      <c r="B602" s="104">
        <v>23</v>
      </c>
      <c r="C602" s="104">
        <v>9</v>
      </c>
      <c r="D602" s="2" t="s">
        <v>433</v>
      </c>
      <c r="E602" s="104"/>
      <c r="F602" s="102" t="s">
        <v>477</v>
      </c>
      <c r="G602" s="101">
        <v>710</v>
      </c>
      <c r="H602" s="18"/>
      <c r="I602" s="18"/>
      <c r="J602" s="18"/>
      <c r="K602" s="103">
        <f>SUM(H602:J602)</f>
        <v>0</v>
      </c>
      <c r="L602" s="24" t="s">
        <v>289</v>
      </c>
      <c r="M602" s="8"/>
      <c r="N602" s="271"/>
    </row>
    <row r="603" spans="1:14" s="3" customFormat="1" ht="12" customHeight="1" x14ac:dyDescent="0.15">
      <c r="A603" s="22" t="s">
        <v>647</v>
      </c>
      <c r="B603" s="104">
        <v>23</v>
      </c>
      <c r="C603" s="104">
        <v>10</v>
      </c>
      <c r="D603" s="2" t="s">
        <v>433</v>
      </c>
      <c r="E603" s="104"/>
      <c r="F603" s="102" t="s">
        <v>477</v>
      </c>
      <c r="G603" s="101">
        <v>720</v>
      </c>
      <c r="H603" s="18"/>
      <c r="I603" s="18"/>
      <c r="J603" s="18"/>
      <c r="K603" s="103">
        <f>SUM(H603:J603)</f>
        <v>0</v>
      </c>
      <c r="L603" s="24" t="s">
        <v>289</v>
      </c>
      <c r="M603" s="8"/>
      <c r="N603" s="271"/>
    </row>
    <row r="604" spans="1:14" s="3" customFormat="1" ht="12" customHeight="1" thickBot="1" x14ac:dyDescent="0.2">
      <c r="A604" s="22" t="s">
        <v>648</v>
      </c>
      <c r="B604" s="104">
        <v>23</v>
      </c>
      <c r="C604" s="104">
        <v>11</v>
      </c>
      <c r="D604" s="2" t="s">
        <v>433</v>
      </c>
      <c r="E604" s="104"/>
      <c r="F604" s="102" t="s">
        <v>477</v>
      </c>
      <c r="G604" s="101">
        <v>730</v>
      </c>
      <c r="H604" s="18">
        <v>79376.47</v>
      </c>
      <c r="I604" s="18"/>
      <c r="J604" s="18">
        <v>106419.3</v>
      </c>
      <c r="K604" s="103">
        <f>SUM(H604:J604)</f>
        <v>185795.77000000002</v>
      </c>
      <c r="L604" s="24" t="s">
        <v>289</v>
      </c>
      <c r="M604" s="8"/>
      <c r="N604" s="271"/>
    </row>
    <row r="605" spans="1:14" s="3" customFormat="1" ht="12" customHeight="1" thickTop="1" x14ac:dyDescent="0.15">
      <c r="A605" s="97" t="s">
        <v>341</v>
      </c>
      <c r="B605" s="44">
        <v>23</v>
      </c>
      <c r="C605" s="44">
        <v>12</v>
      </c>
      <c r="D605" s="39" t="s">
        <v>433</v>
      </c>
      <c r="E605" s="44"/>
      <c r="F605" s="148" t="s">
        <v>477</v>
      </c>
      <c r="G605" s="147">
        <v>700</v>
      </c>
      <c r="H605" s="107">
        <f>SUM(H602:H604)</f>
        <v>79376.47</v>
      </c>
      <c r="I605" s="107">
        <f>SUM(I602:I604)</f>
        <v>0</v>
      </c>
      <c r="J605" s="107">
        <f>SUM(J602:J604)</f>
        <v>106419.3</v>
      </c>
      <c r="K605" s="107">
        <f>SUM(K602:K604)</f>
        <v>185795.77000000002</v>
      </c>
      <c r="L605" s="24" t="s">
        <v>289</v>
      </c>
      <c r="M605" s="8"/>
      <c r="N605" s="271"/>
    </row>
    <row r="606" spans="1:14" s="3" customFormat="1" ht="1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71"/>
    </row>
    <row r="607" spans="1:14" s="3" customFormat="1" ht="1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71"/>
    </row>
    <row r="608" spans="1:14" s="3" customFormat="1" ht="12" customHeight="1" x14ac:dyDescent="0.15">
      <c r="A608" s="95" t="s">
        <v>584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71"/>
    </row>
    <row r="609" spans="1:14" s="3" customFormat="1" ht="12" customHeight="1" x14ac:dyDescent="0.15">
      <c r="B609" s="104"/>
      <c r="C609" s="104"/>
      <c r="D609" s="104"/>
      <c r="E609" s="104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7"/>
      <c r="M609" s="8"/>
      <c r="N609" s="271"/>
    </row>
    <row r="610" spans="1:14" s="3" customFormat="1" ht="1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71"/>
    </row>
    <row r="611" spans="1:14" s="3" customFormat="1" ht="12" customHeight="1" x14ac:dyDescent="0.15">
      <c r="A611" s="22" t="s">
        <v>637</v>
      </c>
      <c r="B611" s="74">
        <v>23</v>
      </c>
      <c r="C611" s="74">
        <v>13</v>
      </c>
      <c r="D611" s="2" t="s">
        <v>433</v>
      </c>
      <c r="E611" s="74"/>
      <c r="F611" s="18">
        <v>1700</v>
      </c>
      <c r="G611" s="18">
        <v>368.76</v>
      </c>
      <c r="H611" s="18"/>
      <c r="I611" s="18"/>
      <c r="J611" s="18"/>
      <c r="K611" s="18"/>
      <c r="L611" s="87">
        <f>SUM(F611:K611)</f>
        <v>2068.7600000000002</v>
      </c>
      <c r="M611" s="8"/>
      <c r="N611" s="271"/>
    </row>
    <row r="612" spans="1:14" s="3" customFormat="1" ht="12" customHeight="1" x14ac:dyDescent="0.15">
      <c r="A612" s="22" t="s">
        <v>638</v>
      </c>
      <c r="B612" s="74">
        <v>23</v>
      </c>
      <c r="C612" s="74">
        <v>14</v>
      </c>
      <c r="D612" s="2" t="s">
        <v>433</v>
      </c>
      <c r="E612" s="74"/>
      <c r="F612" s="18"/>
      <c r="G612" s="18"/>
      <c r="H612" s="18"/>
      <c r="I612" s="18"/>
      <c r="J612" s="18"/>
      <c r="K612" s="18"/>
      <c r="L612" s="87">
        <f>SUM(F612:K612)</f>
        <v>0</v>
      </c>
      <c r="M612" s="8"/>
      <c r="N612" s="271"/>
    </row>
    <row r="613" spans="1:14" s="3" customFormat="1" ht="12" customHeight="1" thickBot="1" x14ac:dyDescent="0.2">
      <c r="A613" s="22" t="s">
        <v>649</v>
      </c>
      <c r="B613" s="74">
        <v>23</v>
      </c>
      <c r="C613" s="74">
        <v>15</v>
      </c>
      <c r="D613" s="2" t="s">
        <v>433</v>
      </c>
      <c r="E613" s="74"/>
      <c r="F613" s="18"/>
      <c r="G613" s="18"/>
      <c r="H613" s="18">
        <v>2625</v>
      </c>
      <c r="I613" s="18"/>
      <c r="J613" s="18"/>
      <c r="K613" s="18"/>
      <c r="L613" s="87">
        <f>SUM(F613:K613)</f>
        <v>2625</v>
      </c>
      <c r="M613" s="8"/>
      <c r="N613" s="271"/>
    </row>
    <row r="614" spans="1:14" s="3" customFormat="1" ht="12" customHeight="1" thickTop="1" x14ac:dyDescent="0.15">
      <c r="A614" s="97" t="s">
        <v>341</v>
      </c>
      <c r="B614" s="106">
        <v>23</v>
      </c>
      <c r="C614" s="106">
        <v>16</v>
      </c>
      <c r="D614" s="39" t="s">
        <v>433</v>
      </c>
      <c r="E614" s="106"/>
      <c r="F614" s="107">
        <f t="shared" ref="F614:L614" si="49">SUM(F611:F613)</f>
        <v>1700</v>
      </c>
      <c r="G614" s="107">
        <f t="shared" si="49"/>
        <v>368.76</v>
      </c>
      <c r="H614" s="107">
        <f t="shared" si="49"/>
        <v>2625</v>
      </c>
      <c r="I614" s="107">
        <f t="shared" si="49"/>
        <v>0</v>
      </c>
      <c r="J614" s="107">
        <f t="shared" si="49"/>
        <v>0</v>
      </c>
      <c r="K614" s="107">
        <f t="shared" si="49"/>
        <v>0</v>
      </c>
      <c r="L614" s="88">
        <f t="shared" si="49"/>
        <v>4693.76</v>
      </c>
      <c r="M614" s="8"/>
      <c r="N614" s="271"/>
    </row>
    <row r="615" spans="1:14" s="3" customFormat="1" ht="1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" customHeight="1" x14ac:dyDescent="0.15">
      <c r="A616" s="96"/>
      <c r="B616" s="104"/>
      <c r="C616" s="104"/>
      <c r="D616" s="104"/>
      <c r="E616" s="104"/>
      <c r="F616" s="149" t="s">
        <v>53</v>
      </c>
      <c r="G616" s="150"/>
      <c r="H616" s="150"/>
      <c r="I616" s="149" t="s">
        <v>53</v>
      </c>
      <c r="J616" s="108"/>
      <c r="K616" s="108"/>
      <c r="L616" s="108"/>
      <c r="M616" s="8"/>
    </row>
    <row r="617" spans="1:14" s="3" customFormat="1" ht="12" customHeight="1" x14ac:dyDescent="0.15">
      <c r="A617" s="96" t="s">
        <v>99</v>
      </c>
      <c r="B617" s="104"/>
      <c r="C617" s="104"/>
      <c r="D617" s="104"/>
      <c r="E617" s="104"/>
      <c r="F617" s="120" t="s">
        <v>687</v>
      </c>
      <c r="G617" s="108">
        <f>SUM(F19)</f>
        <v>1949123.0899999999</v>
      </c>
      <c r="H617" s="108">
        <f>SUM(F52)</f>
        <v>1949123.0899999999</v>
      </c>
      <c r="I617" s="120" t="s">
        <v>900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 t="s">
        <v>100</v>
      </c>
      <c r="B618" s="104"/>
      <c r="C618" s="104"/>
      <c r="D618" s="104"/>
      <c r="E618" s="104"/>
      <c r="F618" s="120" t="s">
        <v>688</v>
      </c>
      <c r="G618" s="108">
        <f>SUM(G19)</f>
        <v>24933.18</v>
      </c>
      <c r="H618" s="108">
        <f>SUM(G52)</f>
        <v>24933.180000000004</v>
      </c>
      <c r="I618" s="120" t="s">
        <v>901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689</v>
      </c>
      <c r="G619" s="108">
        <f>SUM(H19)</f>
        <v>235510.5</v>
      </c>
      <c r="H619" s="108">
        <f>SUM(H52)</f>
        <v>235510.5</v>
      </c>
      <c r="I619" s="120" t="s">
        <v>902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690</v>
      </c>
      <c r="G620" s="108">
        <f>SUM(I19)</f>
        <v>0</v>
      </c>
      <c r="H620" s="108">
        <f>SUM(I52)</f>
        <v>0</v>
      </c>
      <c r="I620" s="120" t="s">
        <v>903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691</v>
      </c>
      <c r="G621" s="108">
        <f>SUM(J19)</f>
        <v>839832.54</v>
      </c>
      <c r="H621" s="108">
        <f>SUM(J52)</f>
        <v>839832.54</v>
      </c>
      <c r="I621" s="120" t="s">
        <v>904</v>
      </c>
      <c r="J621" s="108">
        <f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04"/>
      <c r="D622" s="104"/>
      <c r="E622" s="104"/>
      <c r="F622" s="120" t="s">
        <v>881</v>
      </c>
      <c r="G622" s="108">
        <f>F51</f>
        <v>1006510.5</v>
      </c>
      <c r="H622" s="108">
        <f>F476</f>
        <v>1006510.4999999963</v>
      </c>
      <c r="I622" s="120" t="s">
        <v>101</v>
      </c>
      <c r="J622" s="108">
        <f t="shared" ref="J622:J655" si="50">G622-H622</f>
        <v>3.7252902984619141E-9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18"/>
      <c r="D623" s="118"/>
      <c r="E623" s="118"/>
      <c r="F623" s="118" t="s">
        <v>882</v>
      </c>
      <c r="G623" s="108">
        <f>G51</f>
        <v>53865.16</v>
      </c>
      <c r="H623" s="108">
        <f>G476</f>
        <v>53865.160000000033</v>
      </c>
      <c r="I623" s="120" t="s">
        <v>102</v>
      </c>
      <c r="J623" s="108">
        <f t="shared" si="50"/>
        <v>0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883</v>
      </c>
      <c r="G624" s="108">
        <f>H51</f>
        <v>10325.5</v>
      </c>
      <c r="H624" s="108">
        <f>H476</f>
        <v>10325.5</v>
      </c>
      <c r="I624" s="120" t="s">
        <v>103</v>
      </c>
      <c r="J624" s="108">
        <f t="shared" si="50"/>
        <v>0</v>
      </c>
      <c r="K624" s="108"/>
      <c r="L624" s="108"/>
      <c r="M624" s="8"/>
    </row>
    <row r="625" spans="1:13" s="3" customFormat="1" ht="12" customHeight="1" x14ac:dyDescent="0.15">
      <c r="A625" s="96"/>
      <c r="B625" s="104"/>
      <c r="C625" s="104"/>
      <c r="D625" s="104"/>
      <c r="E625" s="104"/>
      <c r="F625" s="119" t="s">
        <v>884</v>
      </c>
      <c r="G625" s="108">
        <f>I51</f>
        <v>0</v>
      </c>
      <c r="H625" s="108">
        <f>I476</f>
        <v>0</v>
      </c>
      <c r="I625" s="120" t="s">
        <v>104</v>
      </c>
      <c r="J625" s="108">
        <f t="shared" si="50"/>
        <v>0</v>
      </c>
      <c r="K625" s="108"/>
      <c r="L625" s="108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885</v>
      </c>
      <c r="G626" s="108">
        <f>J51</f>
        <v>839832.54</v>
      </c>
      <c r="H626" s="108">
        <f>J476</f>
        <v>839832.5399999998</v>
      </c>
      <c r="I626" s="139" t="s">
        <v>105</v>
      </c>
      <c r="J626" s="108">
        <f t="shared" si="50"/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662</v>
      </c>
      <c r="G627" s="108">
        <f>F193</f>
        <v>17570542.900000002</v>
      </c>
      <c r="H627" s="103">
        <f>SUM(F468)</f>
        <v>17570542.899999999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663</v>
      </c>
      <c r="G628" s="108">
        <f>G193</f>
        <v>546038.66999999993</v>
      </c>
      <c r="H628" s="103">
        <f>SUM(G468)</f>
        <v>546038.67000000004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664</v>
      </c>
      <c r="G629" s="108">
        <f>H193</f>
        <v>959619.13</v>
      </c>
      <c r="H629" s="103">
        <f>SUM(H468)</f>
        <v>959619.13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665</v>
      </c>
      <c r="G630" s="108">
        <f>I193</f>
        <v>0</v>
      </c>
      <c r="H630" s="103">
        <f>SUM(I468)</f>
        <v>0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666</v>
      </c>
      <c r="G631" s="108">
        <f>J193</f>
        <v>50381.229999999996</v>
      </c>
      <c r="H631" s="103">
        <f>SUM(J468)</f>
        <v>50381.23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395</v>
      </c>
      <c r="G632" s="108">
        <f>SUM(L271)</f>
        <v>17280000.799999997</v>
      </c>
      <c r="H632" s="103">
        <f>SUM(F472)</f>
        <v>17280000.800000001</v>
      </c>
      <c r="I632" s="139" t="s">
        <v>111</v>
      </c>
      <c r="J632" s="108">
        <f t="shared" si="50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396</v>
      </c>
      <c r="G633" s="108">
        <f>SUM(L352)</f>
        <v>960050.86</v>
      </c>
      <c r="H633" s="103">
        <f>SUM(H472)</f>
        <v>960050.86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243748.74</v>
      </c>
      <c r="H634" s="103">
        <f>I369</f>
        <v>243748.74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8" customFormat="1" ht="1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549602.28999999992</v>
      </c>
      <c r="H635" s="103">
        <f>SUM(G472)</f>
        <v>549602.29</v>
      </c>
      <c r="I635" s="139" t="s">
        <v>114</v>
      </c>
      <c r="J635" s="108">
        <f t="shared" si="50"/>
        <v>0</v>
      </c>
      <c r="K635" s="84"/>
      <c r="L635" s="87"/>
      <c r="M635" s="167"/>
    </row>
    <row r="636" spans="1:13" s="168" customFormat="1" ht="1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0</v>
      </c>
      <c r="H636" s="103">
        <f>SUM(I472)</f>
        <v>0</v>
      </c>
      <c r="I636" s="139" t="s">
        <v>116</v>
      </c>
      <c r="J636" s="108">
        <f t="shared" si="50"/>
        <v>0</v>
      </c>
      <c r="K636" s="84"/>
      <c r="L636" s="87"/>
      <c r="M636" s="167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478</v>
      </c>
      <c r="G637" s="150">
        <f>SUM(L408)</f>
        <v>50381.229999999996</v>
      </c>
      <c r="H637" s="163">
        <f>SUM(J468)</f>
        <v>50381.23</v>
      </c>
      <c r="I637" s="164" t="s">
        <v>110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160"/>
      <c r="B638" s="161"/>
      <c r="C638" s="161"/>
      <c r="D638" s="161"/>
      <c r="E638" s="161"/>
      <c r="F638" s="162" t="s">
        <v>479</v>
      </c>
      <c r="G638" s="150">
        <f>SUM(L434)</f>
        <v>313074.07</v>
      </c>
      <c r="H638" s="163">
        <f>SUM(J472)</f>
        <v>313074.07</v>
      </c>
      <c r="I638" s="164" t="s">
        <v>117</v>
      </c>
      <c r="J638" s="150">
        <f t="shared" si="50"/>
        <v>0</v>
      </c>
      <c r="K638" s="165"/>
      <c r="L638" s="166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274037.95</v>
      </c>
      <c r="H639" s="103">
        <f>SUM(F461)</f>
        <v>274037.95</v>
      </c>
      <c r="I639" s="139" t="s">
        <v>857</v>
      </c>
      <c r="J639" s="108">
        <f t="shared" si="50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565794.59</v>
      </c>
      <c r="H640" s="103">
        <f>SUM(G461)</f>
        <v>565794.59</v>
      </c>
      <c r="I640" s="139" t="s">
        <v>858</v>
      </c>
      <c r="J640" s="108">
        <f t="shared" si="50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0</v>
      </c>
      <c r="H641" s="103">
        <f>SUM(H461)</f>
        <v>0</v>
      </c>
      <c r="I641" s="139" t="s">
        <v>859</v>
      </c>
      <c r="J641" s="108">
        <f t="shared" si="50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839832.54</v>
      </c>
      <c r="H642" s="103">
        <f>SUM(I461)</f>
        <v>839832.54</v>
      </c>
      <c r="I642" s="139" t="s">
        <v>860</v>
      </c>
      <c r="J642" s="108">
        <f t="shared" si="50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480</v>
      </c>
      <c r="J643" s="108">
        <f t="shared" si="50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667</v>
      </c>
      <c r="G644" s="108">
        <f>J96</f>
        <v>6514.94</v>
      </c>
      <c r="H644" s="103">
        <f>H408</f>
        <v>6514.94</v>
      </c>
      <c r="I644" s="139" t="s">
        <v>481</v>
      </c>
      <c r="J644" s="108">
        <f t="shared" si="50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668</v>
      </c>
      <c r="G645" s="108">
        <f>J183</f>
        <v>16572.919999999998</v>
      </c>
      <c r="H645" s="103">
        <f>G408</f>
        <v>16572.919999999998</v>
      </c>
      <c r="I645" s="139" t="s">
        <v>482</v>
      </c>
      <c r="J645" s="108">
        <f t="shared" si="50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666</v>
      </c>
      <c r="G646" s="108">
        <f>J193</f>
        <v>50381.229999999996</v>
      </c>
      <c r="H646" s="103">
        <f>L408</f>
        <v>50381.229999999996</v>
      </c>
      <c r="I646" s="139" t="s">
        <v>478</v>
      </c>
      <c r="J646" s="108">
        <f t="shared" si="50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1084846.6599999999</v>
      </c>
      <c r="H647" s="103">
        <f>L208+L226+L244</f>
        <v>1084846.6600000001</v>
      </c>
      <c r="I647" s="139" t="s">
        <v>397</v>
      </c>
      <c r="J647" s="108">
        <f t="shared" si="50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185795.77000000002</v>
      </c>
      <c r="H648" s="103">
        <f>(J257+J338)-(J255+J336)</f>
        <v>185795.77</v>
      </c>
      <c r="I648" s="139" t="s">
        <v>703</v>
      </c>
      <c r="J648" s="108">
        <f t="shared" si="50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388</v>
      </c>
      <c r="G649" s="108">
        <f>L208</f>
        <v>665710.91</v>
      </c>
      <c r="H649" s="103">
        <f>H598</f>
        <v>665710.91</v>
      </c>
      <c r="I649" s="139" t="s">
        <v>389</v>
      </c>
      <c r="J649" s="108">
        <f t="shared" si="50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393</v>
      </c>
      <c r="G650" s="108">
        <f>L226</f>
        <v>0</v>
      </c>
      <c r="H650" s="103">
        <f>I598</f>
        <v>0</v>
      </c>
      <c r="I650" s="139" t="s">
        <v>390</v>
      </c>
      <c r="J650" s="108">
        <f t="shared" si="50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394</v>
      </c>
      <c r="G651" s="108">
        <f>L244</f>
        <v>419135.75</v>
      </c>
      <c r="H651" s="103">
        <f>J598</f>
        <v>419135.75</v>
      </c>
      <c r="I651" s="139" t="s">
        <v>391</v>
      </c>
      <c r="J651" s="108">
        <f t="shared" si="50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669</v>
      </c>
      <c r="G652" s="108">
        <f>G179</f>
        <v>4123</v>
      </c>
      <c r="H652" s="103">
        <f>K263+K345</f>
        <v>4123</v>
      </c>
      <c r="I652" s="139" t="s">
        <v>398</v>
      </c>
      <c r="J652" s="108">
        <f t="shared" si="50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670</v>
      </c>
      <c r="G653" s="108">
        <f>H179</f>
        <v>0</v>
      </c>
      <c r="H653" s="103">
        <f>K264</f>
        <v>0</v>
      </c>
      <c r="I653" s="139" t="s">
        <v>399</v>
      </c>
      <c r="J653" s="108">
        <f t="shared" si="50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671</v>
      </c>
      <c r="G654" s="108">
        <f>I179</f>
        <v>0</v>
      </c>
      <c r="H654" s="103">
        <f>K265+K346</f>
        <v>0</v>
      </c>
      <c r="I654" s="139" t="s">
        <v>400</v>
      </c>
      <c r="J654" s="108">
        <f t="shared" si="50"/>
        <v>0</v>
      </c>
      <c r="K654" s="84"/>
      <c r="L654" s="87"/>
      <c r="M654" s="8"/>
    </row>
    <row r="655" spans="1:13" s="3" customFormat="1" ht="12" customHeight="1" x14ac:dyDescent="0.15">
      <c r="A655" s="22"/>
      <c r="B655" s="104"/>
      <c r="C655" s="104"/>
      <c r="D655" s="104"/>
      <c r="E655" s="104"/>
      <c r="F655" s="119" t="s">
        <v>672</v>
      </c>
      <c r="G655" s="108">
        <f>J179+J181</f>
        <v>16572.919999999998</v>
      </c>
      <c r="H655" s="103">
        <f>K266+K347</f>
        <v>16572.919999999998</v>
      </c>
      <c r="I655" s="139" t="s">
        <v>401</v>
      </c>
      <c r="J655" s="108">
        <f t="shared" si="50"/>
        <v>0</v>
      </c>
      <c r="K655" s="84"/>
      <c r="L655" s="87"/>
      <c r="M655" s="8"/>
    </row>
    <row r="656" spans="1:13" s="3" customFormat="1" ht="1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11889615.309999999</v>
      </c>
      <c r="G660" s="19">
        <f>(L229+L309+L359)</f>
        <v>0</v>
      </c>
      <c r="H660" s="19">
        <f>(L247+L328+L360)</f>
        <v>6748775.3600000013</v>
      </c>
      <c r="I660" s="19">
        <f>SUM(F660:H660)</f>
        <v>18638390.670000002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122068.76816327676</v>
      </c>
      <c r="G661" s="19">
        <f>(L359/IF(SUM(L358:L360)=0,1,SUM(L358:L360))*(SUM(G97:G110)))</f>
        <v>0</v>
      </c>
      <c r="H661" s="19">
        <f>(L360/IF(SUM(L358:L360)=0,1,SUM(L358:L360))*(SUM(G97:G110)))</f>
        <v>56394.991836723246</v>
      </c>
      <c r="I661" s="19">
        <f>SUM(F661:H661)</f>
        <v>178463.76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665710.91</v>
      </c>
      <c r="G662" s="19">
        <f>(L226+L306)-(J226+J306)</f>
        <v>0</v>
      </c>
      <c r="H662" s="19">
        <f>(L244+L325)-(J244+J325)</f>
        <v>420197.48</v>
      </c>
      <c r="I662" s="19">
        <f>SUM(F662:H662)</f>
        <v>1085908.3900000001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112687.96999999999</v>
      </c>
      <c r="G663" s="198">
        <f>SUM(G575:G587)+SUM(I602:I604)+L612</f>
        <v>0</v>
      </c>
      <c r="H663" s="198">
        <f>SUM(H575:H587)+SUM(J602:J604)+L613</f>
        <v>312398.28999999998</v>
      </c>
      <c r="I663" s="19">
        <f>SUM(F663:H663)</f>
        <v>425086.25999999995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10989147.661836721</v>
      </c>
      <c r="G664" s="19">
        <f>G660-SUM(G661:G663)</f>
        <v>0</v>
      </c>
      <c r="H664" s="19">
        <f>H660-SUM(H661:H663)</f>
        <v>5959784.5981632778</v>
      </c>
      <c r="I664" s="19">
        <f>I660-SUM(I661:I663)</f>
        <v>16948932.260000002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783.6</v>
      </c>
      <c r="G665" s="247"/>
      <c r="H665" s="247">
        <v>399.54</v>
      </c>
      <c r="I665" s="19">
        <f>SUM(F665:H665)</f>
        <v>1183.1400000000001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14023.93</v>
      </c>
      <c r="G667" s="19" t="e">
        <f>ROUND(G664/G665,2)</f>
        <v>#DIV/0!</v>
      </c>
      <c r="H667" s="19">
        <f>ROUND(H664/H665,2)</f>
        <v>14916.62</v>
      </c>
      <c r="I667" s="19">
        <f>ROUND(I664/I665,2)</f>
        <v>14325.38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4</v>
      </c>
      <c r="I670" s="19">
        <f>SUM(F670:H670)</f>
        <v>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14023.93</v>
      </c>
      <c r="G672" s="19" t="e">
        <f>ROUND((G664+G669)/(G665+G670),2)</f>
        <v>#DIV/0!</v>
      </c>
      <c r="H672" s="19">
        <f>ROUND((H664+H669)/(H665+H670),2)</f>
        <v>14768.76</v>
      </c>
      <c r="I672" s="19">
        <f>ROUND((I664+I669)/(I665+I670),2)</f>
        <v>14277.11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White Mountains Regional</v>
      </c>
      <c r="C1" s="237" t="s">
        <v>839</v>
      </c>
    </row>
    <row r="2" spans="1:3" x14ac:dyDescent="0.2">
      <c r="A2" s="232"/>
      <c r="B2" s="231"/>
    </row>
    <row r="3" spans="1:3" x14ac:dyDescent="0.2">
      <c r="A3" s="282" t="s">
        <v>784</v>
      </c>
      <c r="B3" s="282"/>
      <c r="C3" s="282"/>
    </row>
    <row r="4" spans="1:3" x14ac:dyDescent="0.2">
      <c r="A4" s="235"/>
      <c r="B4" s="236" t="str">
        <f>'DOE25'!H1</f>
        <v>DOE 25  2013-2014</v>
      </c>
      <c r="C4" s="235"/>
    </row>
    <row r="5" spans="1:3" x14ac:dyDescent="0.2">
      <c r="A5" s="232"/>
      <c r="B5" s="231"/>
    </row>
    <row r="6" spans="1:3" x14ac:dyDescent="0.2">
      <c r="A6" s="226"/>
      <c r="B6" s="281" t="s">
        <v>783</v>
      </c>
      <c r="C6" s="281"/>
    </row>
    <row r="7" spans="1:3" x14ac:dyDescent="0.2">
      <c r="A7" s="238" t="s">
        <v>786</v>
      </c>
      <c r="B7" s="279" t="s">
        <v>782</v>
      </c>
      <c r="C7" s="280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'DOE25'!F197+'DOE25'!F215+'DOE25'!F233+'DOE25'!F276+'DOE25'!F295+'DOE25'!F314</f>
        <v>3923968.95</v>
      </c>
      <c r="C9" s="228">
        <f>'DOE25'!G197+'DOE25'!G215+'DOE25'!G233+'DOE25'!G276+'DOE25'!G295+'DOE25'!G314</f>
        <v>2061370.49</v>
      </c>
    </row>
    <row r="10" spans="1:3" x14ac:dyDescent="0.2">
      <c r="A10" t="s">
        <v>779</v>
      </c>
      <c r="B10" s="239">
        <v>3547442.49</v>
      </c>
      <c r="C10" s="239">
        <v>1914386.16</v>
      </c>
    </row>
    <row r="11" spans="1:3" x14ac:dyDescent="0.2">
      <c r="A11" t="s">
        <v>780</v>
      </c>
      <c r="B11" s="239">
        <v>132050.89000000001</v>
      </c>
      <c r="C11" s="239">
        <v>78684.36</v>
      </c>
    </row>
    <row r="12" spans="1:3" x14ac:dyDescent="0.2">
      <c r="A12" t="s">
        <v>781</v>
      </c>
      <c r="B12" s="239">
        <v>244475.57</v>
      </c>
      <c r="C12" s="239">
        <v>68299.97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3923968.95</v>
      </c>
      <c r="C13" s="230">
        <f>SUM(C10:C12)</f>
        <v>2061370.49</v>
      </c>
    </row>
    <row r="14" spans="1:3" x14ac:dyDescent="0.2">
      <c r="B14" s="229"/>
      <c r="C14" s="229"/>
    </row>
    <row r="15" spans="1:3" x14ac:dyDescent="0.2">
      <c r="B15" s="281" t="s">
        <v>783</v>
      </c>
      <c r="C15" s="281"/>
    </row>
    <row r="16" spans="1:3" x14ac:dyDescent="0.2">
      <c r="A16" s="238" t="s">
        <v>787</v>
      </c>
      <c r="B16" s="279" t="s">
        <v>707</v>
      </c>
      <c r="C16" s="280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1542286.31</v>
      </c>
      <c r="C18" s="228">
        <f>'DOE25'!G198+'DOE25'!G216+'DOE25'!G234+'DOE25'!G277+'DOE25'!G296+'DOE25'!G315</f>
        <v>788117.3</v>
      </c>
    </row>
    <row r="19" spans="1:3" x14ac:dyDescent="0.2">
      <c r="A19" t="s">
        <v>779</v>
      </c>
      <c r="B19" s="239">
        <v>949667.79</v>
      </c>
      <c r="C19" s="239">
        <v>506768.89</v>
      </c>
    </row>
    <row r="20" spans="1:3" x14ac:dyDescent="0.2">
      <c r="A20" t="s">
        <v>780</v>
      </c>
      <c r="B20" s="239">
        <v>576138.55000000005</v>
      </c>
      <c r="C20" s="239">
        <v>273692.96999999997</v>
      </c>
    </row>
    <row r="21" spans="1:3" x14ac:dyDescent="0.2">
      <c r="A21" t="s">
        <v>781</v>
      </c>
      <c r="B21" s="239">
        <v>16479.97</v>
      </c>
      <c r="C21" s="239">
        <v>7655.44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1542286.31</v>
      </c>
      <c r="C22" s="230">
        <f>SUM(C19:C21)</f>
        <v>788117.29999999993</v>
      </c>
    </row>
    <row r="23" spans="1:3" x14ac:dyDescent="0.2">
      <c r="B23" s="229"/>
      <c r="C23" s="229"/>
    </row>
    <row r="24" spans="1:3" x14ac:dyDescent="0.2">
      <c r="B24" s="281" t="s">
        <v>783</v>
      </c>
      <c r="C24" s="281"/>
    </row>
    <row r="25" spans="1:3" x14ac:dyDescent="0.2">
      <c r="A25" s="238" t="s">
        <v>788</v>
      </c>
      <c r="B25" s="279" t="s">
        <v>708</v>
      </c>
      <c r="C25" s="280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276895.02999999997</v>
      </c>
      <c r="C27" s="233">
        <f>'DOE25'!G199+'DOE25'!G217+'DOE25'!G235+'DOE25'!G278+'DOE25'!G297+'DOE25'!G316</f>
        <v>118527.29000000001</v>
      </c>
    </row>
    <row r="28" spans="1:3" x14ac:dyDescent="0.2">
      <c r="A28" t="s">
        <v>779</v>
      </c>
      <c r="B28" s="239">
        <v>232962.08</v>
      </c>
      <c r="C28" s="239">
        <v>101732.3</v>
      </c>
    </row>
    <row r="29" spans="1:3" x14ac:dyDescent="0.2">
      <c r="A29" t="s">
        <v>780</v>
      </c>
      <c r="B29" s="239">
        <v>43932.95</v>
      </c>
      <c r="C29" s="239">
        <v>0</v>
      </c>
    </row>
    <row r="30" spans="1:3" x14ac:dyDescent="0.2">
      <c r="A30" t="s">
        <v>781</v>
      </c>
      <c r="B30" s="239"/>
      <c r="C30" s="239">
        <v>16794.990000000002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276895.02999999997</v>
      </c>
      <c r="C31" s="230">
        <f>SUM(C28:C30)</f>
        <v>118527.29000000001</v>
      </c>
    </row>
    <row r="33" spans="1:3" x14ac:dyDescent="0.2">
      <c r="B33" s="281" t="s">
        <v>783</v>
      </c>
      <c r="C33" s="281"/>
    </row>
    <row r="34" spans="1:3" x14ac:dyDescent="0.2">
      <c r="A34" s="238" t="s">
        <v>789</v>
      </c>
      <c r="B34" s="279" t="s">
        <v>709</v>
      </c>
      <c r="C34" s="280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307195.46999999997</v>
      </c>
      <c r="C36" s="234">
        <f>'DOE25'!G200+'DOE25'!G218+'DOE25'!G236+'DOE25'!G279+'DOE25'!G298+'DOE25'!G317</f>
        <v>70915.63</v>
      </c>
    </row>
    <row r="37" spans="1:3" x14ac:dyDescent="0.2">
      <c r="A37" t="s">
        <v>779</v>
      </c>
      <c r="B37" s="239">
        <v>82496.899999999994</v>
      </c>
      <c r="C37" s="239">
        <v>39495.620000000003</v>
      </c>
    </row>
    <row r="38" spans="1:3" x14ac:dyDescent="0.2">
      <c r="A38" t="s">
        <v>780</v>
      </c>
      <c r="B38" s="239">
        <v>0</v>
      </c>
      <c r="C38" s="239">
        <v>0</v>
      </c>
    </row>
    <row r="39" spans="1:3" x14ac:dyDescent="0.2">
      <c r="A39" t="s">
        <v>781</v>
      </c>
      <c r="B39" s="239">
        <v>224698.57</v>
      </c>
      <c r="C39" s="239">
        <v>31420.01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307195.46999999997</v>
      </c>
      <c r="C40" s="230">
        <f>SUM(C37:C39)</f>
        <v>70915.63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1" t="s">
        <v>790</v>
      </c>
      <c r="B1" s="286"/>
      <c r="C1" s="286"/>
      <c r="D1" s="286"/>
      <c r="E1" s="286"/>
      <c r="F1" s="286"/>
      <c r="G1" s="286"/>
      <c r="H1" s="286"/>
      <c r="I1" s="180"/>
    </row>
    <row r="2" spans="1:9" x14ac:dyDescent="0.2">
      <c r="A2" s="33" t="s">
        <v>717</v>
      </c>
      <c r="B2" s="264" t="str">
        <f>'DOE25'!A2</f>
        <v>White Mountains Regional</v>
      </c>
      <c r="C2" s="180"/>
      <c r="D2" s="180" t="s">
        <v>792</v>
      </c>
      <c r="E2" s="180" t="s">
        <v>794</v>
      </c>
      <c r="F2" s="283" t="s">
        <v>821</v>
      </c>
      <c r="G2" s="284"/>
      <c r="H2" s="285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9620032.1000000015</v>
      </c>
      <c r="D5" s="20">
        <f>SUM('DOE25'!L197:L200)+SUM('DOE25'!L215:L218)+SUM('DOE25'!L233:L236)-F5-G5</f>
        <v>9447591.5000000019</v>
      </c>
      <c r="E5" s="242"/>
      <c r="F5" s="254">
        <f>SUM('DOE25'!J197:J200)+SUM('DOE25'!J215:J218)+SUM('DOE25'!J233:J236)</f>
        <v>114893.12</v>
      </c>
      <c r="G5" s="53">
        <f>SUM('DOE25'!K197:K200)+SUM('DOE25'!K215:K218)+SUM('DOE25'!K233:K236)</f>
        <v>57547.479999999996</v>
      </c>
      <c r="H5" s="258"/>
    </row>
    <row r="6" spans="1:9" x14ac:dyDescent="0.2">
      <c r="A6" s="32">
        <v>2100</v>
      </c>
      <c r="B6" t="s">
        <v>801</v>
      </c>
      <c r="C6" s="244">
        <f t="shared" si="0"/>
        <v>1341920.67</v>
      </c>
      <c r="D6" s="20">
        <f>'DOE25'!L202+'DOE25'!L220+'DOE25'!L238-F6-G6</f>
        <v>1337259.46</v>
      </c>
      <c r="E6" s="242"/>
      <c r="F6" s="254">
        <f>'DOE25'!J202+'DOE25'!J220+'DOE25'!J238</f>
        <v>1726.21</v>
      </c>
      <c r="G6" s="53">
        <f>'DOE25'!K202+'DOE25'!K220+'DOE25'!K238</f>
        <v>2935</v>
      </c>
      <c r="H6" s="258"/>
    </row>
    <row r="7" spans="1:9" x14ac:dyDescent="0.2">
      <c r="A7" s="32">
        <v>2200</v>
      </c>
      <c r="B7" t="s">
        <v>834</v>
      </c>
      <c r="C7" s="244">
        <f t="shared" si="0"/>
        <v>372619.04000000004</v>
      </c>
      <c r="D7" s="20">
        <f>'DOE25'!L203+'DOE25'!L221+'DOE25'!L239-F7-G7</f>
        <v>361909.26</v>
      </c>
      <c r="E7" s="242"/>
      <c r="F7" s="254">
        <f>'DOE25'!J203+'DOE25'!J221+'DOE25'!J239</f>
        <v>2910.63</v>
      </c>
      <c r="G7" s="53">
        <f>'DOE25'!K203+'DOE25'!K221+'DOE25'!K239</f>
        <v>7799.15</v>
      </c>
      <c r="H7" s="258"/>
    </row>
    <row r="8" spans="1:9" x14ac:dyDescent="0.2">
      <c r="A8" s="32">
        <v>2300</v>
      </c>
      <c r="B8" t="s">
        <v>802</v>
      </c>
      <c r="C8" s="244">
        <f t="shared" si="0"/>
        <v>894244.58999999973</v>
      </c>
      <c r="D8" s="242"/>
      <c r="E8" s="20">
        <f>'DOE25'!L204+'DOE25'!L222+'DOE25'!L240-F8-G8-D9-D11</f>
        <v>856275.31999999983</v>
      </c>
      <c r="F8" s="254">
        <f>'DOE25'!J204+'DOE25'!J222+'DOE25'!J240</f>
        <v>1389.3200000000002</v>
      </c>
      <c r="G8" s="53">
        <f>'DOE25'!K204+'DOE25'!K222+'DOE25'!K240</f>
        <v>36579.950000000004</v>
      </c>
      <c r="H8" s="258"/>
    </row>
    <row r="9" spans="1:9" x14ac:dyDescent="0.2">
      <c r="A9" s="32">
        <v>2310</v>
      </c>
      <c r="B9" t="s">
        <v>818</v>
      </c>
      <c r="C9" s="244">
        <f t="shared" si="0"/>
        <v>122742.58</v>
      </c>
      <c r="D9" s="243">
        <v>122742.58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12000</v>
      </c>
      <c r="D10" s="242"/>
      <c r="E10" s="243">
        <v>12000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218106.71</v>
      </c>
      <c r="D11" s="243">
        <v>218106.71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1316310.47</v>
      </c>
      <c r="D12" s="20">
        <f>'DOE25'!L205+'DOE25'!L223+'DOE25'!L241-F12-G12</f>
        <v>1239897.9200000002</v>
      </c>
      <c r="E12" s="242"/>
      <c r="F12" s="254">
        <f>'DOE25'!J205+'DOE25'!J223+'DOE25'!J241</f>
        <v>32160.639999999999</v>
      </c>
      <c r="G12" s="53">
        <f>'DOE25'!K205+'DOE25'!K223+'DOE25'!K241</f>
        <v>44251.91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213946.01</v>
      </c>
      <c r="D13" s="242"/>
      <c r="E13" s="20">
        <f>'DOE25'!L206+'DOE25'!L224+'DOE25'!L242-F13-G13</f>
        <v>213646.01</v>
      </c>
      <c r="F13" s="254">
        <f>'DOE25'!J206+'DOE25'!J224+'DOE25'!J242</f>
        <v>0</v>
      </c>
      <c r="G13" s="53">
        <f>'DOE25'!K206+'DOE25'!K224+'DOE25'!K242</f>
        <v>300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1989585.2999999998</v>
      </c>
      <c r="D14" s="20">
        <f>'DOE25'!L207+'DOE25'!L225+'DOE25'!L243-F14-G14</f>
        <v>1976244.5499999998</v>
      </c>
      <c r="E14" s="242"/>
      <c r="F14" s="254">
        <f>'DOE25'!J207+'DOE25'!J225+'DOE25'!J243</f>
        <v>13340.75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1084846.6600000001</v>
      </c>
      <c r="D15" s="20">
        <f>'DOE25'!L208+'DOE25'!L226+'DOE25'!L244-F15-G15</f>
        <v>1084846.6600000001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0</v>
      </c>
      <c r="D16" s="242"/>
      <c r="E16" s="20">
        <f>'DOE25'!L209+'DOE25'!L227+'DOE25'!L245-F16-G16</f>
        <v>0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10906.359999999999</v>
      </c>
      <c r="D17" s="20">
        <f>'DOE25'!L251-F17-G17</f>
        <v>10906.359999999999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17403.79</v>
      </c>
      <c r="D22" s="242"/>
      <c r="E22" s="242"/>
      <c r="F22" s="254">
        <f>'DOE25'!L255+'DOE25'!L336</f>
        <v>17403.79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0</v>
      </c>
      <c r="D25" s="242"/>
      <c r="E25" s="242"/>
      <c r="F25" s="257"/>
      <c r="G25" s="255"/>
      <c r="H25" s="256">
        <f>'DOE25'!L260+'DOE25'!L261+'DOE25'!L341+'DOE25'!L342</f>
        <v>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321094.24999999994</v>
      </c>
      <c r="D29" s="20">
        <f>'DOE25'!L358+'DOE25'!L359+'DOE25'!L360-'DOE25'!I367-F29-G29</f>
        <v>310395.65999999992</v>
      </c>
      <c r="E29" s="242"/>
      <c r="F29" s="254">
        <f>'DOE25'!J358+'DOE25'!J359+'DOE25'!J360</f>
        <v>6675.0700000000006</v>
      </c>
      <c r="G29" s="53">
        <f>'DOE25'!K358+'DOE25'!K359+'DOE25'!K360</f>
        <v>4023.52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914434.25</v>
      </c>
      <c r="D31" s="20">
        <f>'DOE25'!L290+'DOE25'!L309+'DOE25'!L328+'DOE25'!L333+'DOE25'!L334+'DOE25'!L335-F31-G31</f>
        <v>883219.83000000007</v>
      </c>
      <c r="E31" s="242"/>
      <c r="F31" s="254">
        <f>'DOE25'!J290+'DOE25'!J309+'DOE25'!J328+'DOE25'!J333+'DOE25'!J334+'DOE25'!J335</f>
        <v>19375.099999999999</v>
      </c>
      <c r="G31" s="53">
        <f>'DOE25'!K290+'DOE25'!K309+'DOE25'!K328+'DOE25'!K333+'DOE25'!K334+'DOE25'!K335</f>
        <v>11839.32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16993120.490000002</v>
      </c>
      <c r="E33" s="245">
        <f>SUM(E5:E31)</f>
        <v>1081921.3299999998</v>
      </c>
      <c r="F33" s="245">
        <f>SUM(F5:F31)</f>
        <v>209874.63000000003</v>
      </c>
      <c r="G33" s="245">
        <f>SUM(G5:G31)</f>
        <v>165276.32999999999</v>
      </c>
      <c r="H33" s="245">
        <f>SUM(H5:H31)</f>
        <v>0</v>
      </c>
    </row>
    <row r="35" spans="2:8" ht="12" thickBot="1" x14ac:dyDescent="0.25">
      <c r="B35" s="252" t="s">
        <v>847</v>
      </c>
      <c r="D35" s="253">
        <f>E33</f>
        <v>1081921.3299999998</v>
      </c>
      <c r="E35" s="248"/>
    </row>
    <row r="36" spans="2:8" ht="12" thickTop="1" x14ac:dyDescent="0.2">
      <c r="B36" t="s">
        <v>815</v>
      </c>
      <c r="D36" s="20">
        <f>D33</f>
        <v>16993120.490000002</v>
      </c>
    </row>
    <row r="38" spans="2:8" x14ac:dyDescent="0.2">
      <c r="B38" s="186" t="s">
        <v>895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14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White Mountains Regional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1465698.73</v>
      </c>
      <c r="D8" s="94">
        <f>'DOE25'!G9</f>
        <v>0</v>
      </c>
      <c r="E8" s="94">
        <f>'DOE25'!H9</f>
        <v>0</v>
      </c>
      <c r="F8" s="94">
        <f>'DOE25'!I9</f>
        <v>0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158.91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0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407140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0</v>
      </c>
      <c r="D11" s="94">
        <f>'DOE25'!G12</f>
        <v>0</v>
      </c>
      <c r="E11" s="94">
        <f>'DOE25'!H12</f>
        <v>0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61004.09</v>
      </c>
      <c r="D12" s="94">
        <f>'DOE25'!G13</f>
        <v>24230.880000000001</v>
      </c>
      <c r="E12" s="94">
        <f>'DOE25'!H13</f>
        <v>235510.5</v>
      </c>
      <c r="F12" s="94">
        <f>'DOE25'!I13</f>
        <v>0</v>
      </c>
      <c r="G12" s="94">
        <f>'DOE25'!J13</f>
        <v>839832.54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4116.63</v>
      </c>
      <c r="D13" s="94">
        <f>'DOE25'!G14</f>
        <v>702.3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11004.73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1949123.0899999999</v>
      </c>
      <c r="D18" s="41">
        <f>SUM(D8:D17)</f>
        <v>24933.18</v>
      </c>
      <c r="E18" s="41">
        <f>SUM(E8:E17)</f>
        <v>235510.5</v>
      </c>
      <c r="F18" s="41">
        <f>SUM(F8:F17)</f>
        <v>0</v>
      </c>
      <c r="G18" s="41">
        <f>SUM(G8:G17)</f>
        <v>839832.54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-166007.56</v>
      </c>
      <c r="D21" s="94">
        <f>'DOE25'!G22</f>
        <v>-28931.98</v>
      </c>
      <c r="E21" s="94">
        <f>'DOE25'!H22</f>
        <v>194939.54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16572.919999999998</v>
      </c>
      <c r="D23" s="94">
        <f>'DOE25'!G24</f>
        <v>0</v>
      </c>
      <c r="E23" s="94">
        <f>'DOE25'!H24</f>
        <v>0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1092047.23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0</v>
      </c>
      <c r="E29" s="94">
        <f>'DOE25'!H30</f>
        <v>30245.46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942612.59</v>
      </c>
      <c r="D31" s="41">
        <f>SUM(D21:D30)</f>
        <v>-28931.98</v>
      </c>
      <c r="E31" s="41">
        <f>SUM(E21:E30)</f>
        <v>225185</v>
      </c>
      <c r="F31" s="41">
        <f>SUM(F21:F30)</f>
        <v>0</v>
      </c>
      <c r="G31" s="41">
        <f>SUM(G21:G30)</f>
        <v>0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865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866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872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873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877</v>
      </c>
      <c r="B39" s="6"/>
      <c r="C39" s="24" t="s">
        <v>289</v>
      </c>
      <c r="D39" s="94">
        <f>'DOE25'!G40</f>
        <v>0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0</v>
      </c>
      <c r="G40" s="24" t="s">
        <v>289</v>
      </c>
      <c r="H40" s="123"/>
      <c r="I40" s="123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878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879</v>
      </c>
      <c r="B43" s="6">
        <v>755</v>
      </c>
      <c r="C43" s="94">
        <f>'DOE25'!F44</f>
        <v>65000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880</v>
      </c>
      <c r="B44" s="6">
        <v>753</v>
      </c>
      <c r="C44" s="94">
        <f>'DOE25'!F45</f>
        <v>666194.65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905</v>
      </c>
      <c r="B45" s="6"/>
      <c r="C45" s="94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3"/>
      <c r="I46" s="123"/>
    </row>
    <row r="47" spans="1:9" x14ac:dyDescent="0.2">
      <c r="A47" s="1" t="s">
        <v>906</v>
      </c>
      <c r="B47" s="6">
        <v>760</v>
      </c>
      <c r="C47" s="94">
        <f>'DOE25'!F48</f>
        <v>0</v>
      </c>
      <c r="D47" s="94">
        <f>'DOE25'!G48</f>
        <v>53865.16</v>
      </c>
      <c r="E47" s="94">
        <f>'DOE25'!H48</f>
        <v>10325.5</v>
      </c>
      <c r="F47" s="94">
        <f>'DOE25'!I48</f>
        <v>0</v>
      </c>
      <c r="G47" s="94">
        <f>'DOE25'!J48</f>
        <v>839832.54</v>
      </c>
      <c r="H47" s="123"/>
      <c r="I47" s="123"/>
    </row>
    <row r="48" spans="1:9" x14ac:dyDescent="0.2">
      <c r="A48" s="1" t="s">
        <v>907</v>
      </c>
      <c r="B48" s="6">
        <v>753</v>
      </c>
      <c r="C48" s="94">
        <f>'DOE25'!F49</f>
        <v>0</v>
      </c>
      <c r="D48" s="94">
        <f>'DOE25'!G49</f>
        <v>0</v>
      </c>
      <c r="E48" s="94">
        <f>'DOE25'!H49</f>
        <v>0</v>
      </c>
      <c r="F48" s="94">
        <f>'DOE25'!I49</f>
        <v>0</v>
      </c>
      <c r="G48" s="94">
        <f>'DOE25'!J49</f>
        <v>0</v>
      </c>
      <c r="H48" s="123"/>
      <c r="I48" s="123"/>
    </row>
    <row r="49" spans="1:9" ht="12" thickBot="1" x14ac:dyDescent="0.25">
      <c r="A49" s="29" t="s">
        <v>908</v>
      </c>
      <c r="B49" s="70">
        <v>770</v>
      </c>
      <c r="C49" s="94">
        <f>'DOE25'!F50</f>
        <v>275315.84999999998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3"/>
      <c r="I49" s="123"/>
    </row>
    <row r="50" spans="1:9" ht="12.75" thickTop="1" thickBot="1" x14ac:dyDescent="0.25">
      <c r="A50" s="38" t="s">
        <v>909</v>
      </c>
      <c r="B50" s="48"/>
      <c r="C50" s="41">
        <f>SUM(C34:C49)</f>
        <v>1006510.5</v>
      </c>
      <c r="D50" s="41">
        <f>SUM(D34:D49)</f>
        <v>53865.16</v>
      </c>
      <c r="E50" s="41">
        <f>SUM(E34:E49)</f>
        <v>10325.5</v>
      </c>
      <c r="F50" s="41">
        <f>SUM(F34:F49)</f>
        <v>0</v>
      </c>
      <c r="G50" s="41">
        <f>SUM(G34:G49)</f>
        <v>839832.54</v>
      </c>
      <c r="H50" s="123"/>
      <c r="I50" s="123"/>
    </row>
    <row r="51" spans="1:9" ht="12" thickTop="1" x14ac:dyDescent="0.2">
      <c r="A51" s="38" t="s">
        <v>910</v>
      </c>
      <c r="B51" s="2"/>
      <c r="C51" s="41">
        <f>C50+C31</f>
        <v>1949123.0899999999</v>
      </c>
      <c r="D51" s="41">
        <f>D50+D31</f>
        <v>24933.180000000004</v>
      </c>
      <c r="E51" s="41">
        <f>E50+E31</f>
        <v>235510.5</v>
      </c>
      <c r="F51" s="41">
        <f>F50+F31</f>
        <v>0</v>
      </c>
      <c r="G51" s="41">
        <f>G50+G31</f>
        <v>839832.54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7" t="s">
        <v>161</v>
      </c>
      <c r="B55" s="126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7906130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481796.69999999995</v>
      </c>
      <c r="D57" s="24" t="s">
        <v>289</v>
      </c>
      <c r="E57" s="94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0</v>
      </c>
      <c r="D58" s="24" t="s">
        <v>289</v>
      </c>
      <c r="E58" s="94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4059.35</v>
      </c>
      <c r="D59" s="94">
        <f>'DOE25'!G96</f>
        <v>0</v>
      </c>
      <c r="E59" s="94">
        <f>'DOE25'!H96</f>
        <v>0</v>
      </c>
      <c r="F59" s="94">
        <f>'DOE25'!I96</f>
        <v>0</v>
      </c>
      <c r="G59" s="94">
        <f>'DOE25'!J96</f>
        <v>6514.94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289</v>
      </c>
      <c r="D60" s="94">
        <f>'DOE25'!G97</f>
        <v>178463.76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22784.25</v>
      </c>
      <c r="D61" s="94">
        <f>SUM('DOE25'!G98:G110)</f>
        <v>0</v>
      </c>
      <c r="E61" s="94">
        <f>SUM('DOE25'!H98:H110)</f>
        <v>27999.68</v>
      </c>
      <c r="F61" s="94">
        <f>SUM('DOE25'!I98:I110)</f>
        <v>0</v>
      </c>
      <c r="G61" s="94">
        <f>SUM('DOE25'!J98:J110)</f>
        <v>27293.37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508640.29999999993</v>
      </c>
      <c r="D62" s="129">
        <f>SUM(D57:D61)</f>
        <v>178463.76</v>
      </c>
      <c r="E62" s="129">
        <f>SUM(E57:E61)</f>
        <v>27999.68</v>
      </c>
      <c r="F62" s="129">
        <f>SUM(F57:F61)</f>
        <v>0</v>
      </c>
      <c r="G62" s="129">
        <f>SUM(G57:G61)</f>
        <v>33808.31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8414770.3000000007</v>
      </c>
      <c r="D63" s="22">
        <f>D56+D62</f>
        <v>178463.76</v>
      </c>
      <c r="E63" s="22">
        <f>E56+E62</f>
        <v>27999.68</v>
      </c>
      <c r="F63" s="22">
        <f>F56+F62</f>
        <v>0</v>
      </c>
      <c r="G63" s="22">
        <f>G56+G62</f>
        <v>33808.31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4">
        <f>'DOE25'!F117</f>
        <v>6753101.96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4">
        <f>'DOE25'!F118</f>
        <v>2176135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0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8929236.9600000009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2105.7399999999998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4">
        <f>'DOE25'!F124</f>
        <v>0</v>
      </c>
      <c r="D73" s="24" t="s">
        <v>289</v>
      </c>
      <c r="E73" s="24" t="s">
        <v>289</v>
      </c>
      <c r="F73" s="94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4">
        <f>'DOE25'!F126</f>
        <v>27155.94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4">
        <f>SUM('DOE25'!F127:F130)</f>
        <v>74199.78</v>
      </c>
      <c r="D76" s="24" t="s">
        <v>289</v>
      </c>
      <c r="E76" s="94">
        <f>SUM('DOE25'!H127:H130)</f>
        <v>0</v>
      </c>
      <c r="F76" s="94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4">
        <f>SUM('DOE25'!F131:F135)</f>
        <v>0</v>
      </c>
      <c r="D77" s="94">
        <f>SUM('DOE25'!G131:G135)</f>
        <v>6238.24</v>
      </c>
      <c r="E77" s="94">
        <f>SUM('DOE25'!H131:H135)</f>
        <v>0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29">
        <f>SUM(C72:C77)</f>
        <v>103461.45999999999</v>
      </c>
      <c r="D78" s="129">
        <f>SUM(D72:D77)</f>
        <v>6238.24</v>
      </c>
      <c r="E78" s="129">
        <f>SUM(E72:E77)</f>
        <v>0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4">
        <f>'DOE25'!F138</f>
        <v>0</v>
      </c>
      <c r="D80" s="24" t="s">
        <v>289</v>
      </c>
      <c r="E80" s="94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29">
        <f>SUM(C79:C80)+C78+C70</f>
        <v>9032698.4200000018</v>
      </c>
      <c r="D81" s="129">
        <f>SUM(D79:D80)+D78+D70</f>
        <v>6238.24</v>
      </c>
      <c r="E81" s="129">
        <f>SUM(E79:E80)+E78+E70</f>
        <v>0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7" t="s">
        <v>181</v>
      </c>
      <c r="B84" s="126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4">
        <f>'DOE25'!F147</f>
        <v>0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4">
        <f>SUM('DOE25'!F149:F152)</f>
        <v>0</v>
      </c>
      <c r="D87" s="24" t="s">
        <v>289</v>
      </c>
      <c r="E87" s="94">
        <f>SUM('DOE25'!H149:H152)</f>
        <v>0</v>
      </c>
      <c r="F87" s="94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4">
        <f>SUM('DOE25'!F153:F161)</f>
        <v>53385.53</v>
      </c>
      <c r="D88" s="94">
        <f>SUM('DOE25'!G153:G161)</f>
        <v>357213.67</v>
      </c>
      <c r="E88" s="94">
        <f>SUM('DOE25'!H153:H161)</f>
        <v>931619.45</v>
      </c>
      <c r="F88" s="94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4">
        <f>'DOE25'!F165</f>
        <v>24072.04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0">
        <f>SUM(C85:C90)</f>
        <v>77457.570000000007</v>
      </c>
      <c r="D91" s="130">
        <f>SUM(D85:D90)</f>
        <v>357213.67</v>
      </c>
      <c r="E91" s="130">
        <f>SUM(E85:E90)</f>
        <v>931619.45</v>
      </c>
      <c r="F91" s="130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4">
        <f>SUM('DOE25'!F173:F175)</f>
        <v>0</v>
      </c>
      <c r="D93" s="24" t="s">
        <v>289</v>
      </c>
      <c r="E93" s="24" t="s">
        <v>289</v>
      </c>
      <c r="F93" s="94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4">
        <f>'DOE25'!F176</f>
        <v>0</v>
      </c>
      <c r="D94" s="24" t="s">
        <v>289</v>
      </c>
      <c r="E94" s="24" t="s">
        <v>289</v>
      </c>
      <c r="F94" s="94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4">
        <f>'DOE25'!G179</f>
        <v>4123</v>
      </c>
      <c r="E96" s="94">
        <f>'DOE25'!H179</f>
        <v>0</v>
      </c>
      <c r="F96" s="94">
        <f>'DOE25'!I179</f>
        <v>0</v>
      </c>
      <c r="G96" s="94">
        <f>'DOE25'!J179</f>
        <v>16572.919999999998</v>
      </c>
    </row>
    <row r="97" spans="1:7" x14ac:dyDescent="0.2">
      <c r="A97" t="s">
        <v>758</v>
      </c>
      <c r="B97" s="32" t="s">
        <v>188</v>
      </c>
      <c r="C97" s="94">
        <f>SUM('DOE25'!F180:F181)</f>
        <v>45616.61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759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289</v>
      </c>
      <c r="G98" s="94">
        <f>'DOE25'!J182</f>
        <v>0</v>
      </c>
    </row>
    <row r="99" spans="1:7" x14ac:dyDescent="0.2">
      <c r="A99" t="s">
        <v>760</v>
      </c>
      <c r="B99" s="32">
        <v>5251</v>
      </c>
      <c r="C99" s="94">
        <f>'DOE25'!F185</f>
        <v>0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4">
        <f>SUM('DOE25'!F186:F187)</f>
        <v>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5">
        <f>SUM(C93:C102)</f>
        <v>45616.61</v>
      </c>
      <c r="D103" s="85">
        <f>SUM(D93:D102)</f>
        <v>4123</v>
      </c>
      <c r="E103" s="85">
        <f>SUM(E93:E102)</f>
        <v>0</v>
      </c>
      <c r="F103" s="85">
        <f>SUM(F93:F102)</f>
        <v>0</v>
      </c>
      <c r="G103" s="85">
        <f>SUM(G93:G102)</f>
        <v>16572.919999999998</v>
      </c>
    </row>
    <row r="104" spans="1:7" ht="12.75" thickTop="1" thickBot="1" x14ac:dyDescent="0.25">
      <c r="A104" s="33" t="s">
        <v>765</v>
      </c>
      <c r="C104" s="85">
        <f>C63+C81+C91+C103</f>
        <v>17570542.900000002</v>
      </c>
      <c r="D104" s="85">
        <f>D63+D81+D91+D103</f>
        <v>546038.66999999993</v>
      </c>
      <c r="E104" s="85">
        <f>E63+E81+E91+E103</f>
        <v>959619.13</v>
      </c>
      <c r="F104" s="85">
        <f>F63+F81+F91+F103</f>
        <v>0</v>
      </c>
      <c r="G104" s="85">
        <f>G63+G81+G103</f>
        <v>50381.229999999996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7" t="s">
        <v>195</v>
      </c>
      <c r="B108" s="126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6425028.4299999997</v>
      </c>
      <c r="D109" s="24" t="s">
        <v>289</v>
      </c>
      <c r="E109" s="94">
        <f>('DOE25'!L276)+('DOE25'!L295)+('DOE25'!L314)</f>
        <v>66944.58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2295793.84</v>
      </c>
      <c r="D110" s="24" t="s">
        <v>289</v>
      </c>
      <c r="E110" s="94">
        <f>('DOE25'!L277)+('DOE25'!L296)+('DOE25'!L315)</f>
        <v>395992.69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430416.68</v>
      </c>
      <c r="D111" s="24" t="s">
        <v>289</v>
      </c>
      <c r="E111" s="94">
        <f>('DOE25'!L278)+('DOE25'!L297)+('DOE25'!L316)</f>
        <v>84018.91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468793.15</v>
      </c>
      <c r="D112" s="24" t="s">
        <v>289</v>
      </c>
      <c r="E112" s="94">
        <f>+('DOE25'!L279)+('DOE25'!L298)+('DOE25'!L317)</f>
        <v>2089.87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289</v>
      </c>
      <c r="E113" s="94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10906.359999999999</v>
      </c>
      <c r="D114" s="24" t="s">
        <v>289</v>
      </c>
      <c r="E114" s="94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5">
        <f>SUM(C109:C114)</f>
        <v>9630938.459999999</v>
      </c>
      <c r="D115" s="85">
        <f>SUM(D109:D114)</f>
        <v>0</v>
      </c>
      <c r="E115" s="85">
        <f>SUM(E109:E114)</f>
        <v>549046.05000000005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1341920.67</v>
      </c>
      <c r="D118" s="24" t="s">
        <v>289</v>
      </c>
      <c r="E118" s="94">
        <f>+('DOE25'!L281)+('DOE25'!L300)+('DOE25'!L319)</f>
        <v>233109.97999999998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372619.04000000004</v>
      </c>
      <c r="D119" s="24" t="s">
        <v>289</v>
      </c>
      <c r="E119" s="94">
        <f>+('DOE25'!L282)+('DOE25'!L301)+('DOE25'!L320)</f>
        <v>106438.53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1235093.8799999999</v>
      </c>
      <c r="D120" s="24" t="s">
        <v>289</v>
      </c>
      <c r="E120" s="94">
        <f>+('DOE25'!L283)+('DOE25'!L302)+('DOE25'!L321)</f>
        <v>20829.21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1316310.47</v>
      </c>
      <c r="D121" s="24" t="s">
        <v>289</v>
      </c>
      <c r="E121" s="94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213946.01</v>
      </c>
      <c r="D122" s="24" t="s">
        <v>289</v>
      </c>
      <c r="E122" s="94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1989585.2999999998</v>
      </c>
      <c r="D123" s="24" t="s">
        <v>289</v>
      </c>
      <c r="E123" s="94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1084846.6600000001</v>
      </c>
      <c r="D124" s="24" t="s">
        <v>289</v>
      </c>
      <c r="E124" s="94">
        <f>+('DOE25'!L287)+('DOE25'!L306)+('DOE25'!L325)</f>
        <v>1061.73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0</v>
      </c>
      <c r="D125" s="24" t="s">
        <v>289</v>
      </c>
      <c r="E125" s="94">
        <f>+('DOE25'!L288)+('DOE25'!L307)+('DOE25'!L326)</f>
        <v>3948.75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4">
        <f>('DOE25'!L358)+('DOE25'!L359)+('DOE25'!L360)</f>
        <v>549602.28999999992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5">
        <f>SUM(C118:C127)</f>
        <v>7554322.0299999993</v>
      </c>
      <c r="D128" s="85">
        <f>SUM(D118:D127)</f>
        <v>549602.28999999992</v>
      </c>
      <c r="E128" s="85">
        <f>SUM(E118:E127)</f>
        <v>365388.2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4">
        <f>'DOE25'!L255</f>
        <v>17403.79</v>
      </c>
      <c r="D130" s="24" t="s">
        <v>289</v>
      </c>
      <c r="E130" s="128">
        <f>'DOE25'!L336</f>
        <v>0</v>
      </c>
      <c r="F130" s="128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4">
        <f>'DOE25'!L260</f>
        <v>0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4">
        <f>'DOE25'!L261</f>
        <v>0</v>
      </c>
      <c r="D132" s="24" t="s">
        <v>289</v>
      </c>
      <c r="E132" s="128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4">
        <f>'DOE25'!K361</f>
        <v>0</v>
      </c>
      <c r="E134" s="94">
        <f>'DOE25'!L344</f>
        <v>45616.61</v>
      </c>
      <c r="F134" s="94">
        <f>'DOE25'!K381</f>
        <v>0</v>
      </c>
      <c r="G134" s="94">
        <f>'DOE25'!K434</f>
        <v>0</v>
      </c>
    </row>
    <row r="135" spans="1:7" x14ac:dyDescent="0.2">
      <c r="A135" t="s">
        <v>233</v>
      </c>
      <c r="B135" s="32" t="s">
        <v>234</v>
      </c>
      <c r="C135" s="94">
        <f>'DOE25'!L263</f>
        <v>4123</v>
      </c>
      <c r="D135" s="24" t="s">
        <v>289</v>
      </c>
      <c r="E135" s="128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289</v>
      </c>
      <c r="E137" s="128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4">
        <f>'DOE25'!L393</f>
        <v>16784.03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4">
        <f>'DOE25'!L401</f>
        <v>33597.199999999997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4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4">
        <f>('DOE25'!L266+'DOE25'!K347) - (C138+C139+C140)</f>
        <v>-33808.31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8">
        <f>'DOE25'!L268</f>
        <v>56640.6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289</v>
      </c>
      <c r="E143" s="128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0">
        <f>SUM(C130:C143)</f>
        <v>94740.31</v>
      </c>
      <c r="D144" s="140">
        <f>SUM(D130:D143)</f>
        <v>0</v>
      </c>
      <c r="E144" s="140">
        <f>SUM(E130:E143)</f>
        <v>45616.61</v>
      </c>
      <c r="F144" s="140">
        <f>SUM(F130:F143)</f>
        <v>0</v>
      </c>
      <c r="G144" s="140">
        <f>SUM(G130:G143)</f>
        <v>0</v>
      </c>
    </row>
    <row r="145" spans="1:9" ht="12.75" thickTop="1" thickBot="1" x14ac:dyDescent="0.25">
      <c r="A145" s="33" t="s">
        <v>244</v>
      </c>
      <c r="C145" s="85">
        <f>(C115+C128+C144)</f>
        <v>17280000.799999997</v>
      </c>
      <c r="D145" s="85">
        <f>(D115+D128+D144)</f>
        <v>549602.28999999992</v>
      </c>
      <c r="E145" s="85">
        <f>(E115+E128+E144)</f>
        <v>960050.86</v>
      </c>
      <c r="F145" s="85">
        <f>(F115+F128+F144)</f>
        <v>0</v>
      </c>
      <c r="G145" s="85">
        <f>(G115+G128+G144)</f>
        <v>0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5" t="s">
        <v>27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5" t="s">
        <v>28</v>
      </c>
      <c r="B152" s="151">
        <f>'DOE25'!F491</f>
        <v>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5" t="s">
        <v>29</v>
      </c>
      <c r="B153" s="151">
        <f>'DOE25'!F492</f>
        <v>0</v>
      </c>
      <c r="C153" s="151">
        <f>'DOE25'!G492</f>
        <v>0</v>
      </c>
      <c r="D153" s="151">
        <f>'DOE25'!H492</f>
        <v>0</v>
      </c>
      <c r="E153" s="151">
        <f>'DOE25'!I492</f>
        <v>0</v>
      </c>
      <c r="F153" s="151">
        <f>'DOE25'!J492</f>
        <v>0</v>
      </c>
      <c r="G153" s="24" t="s">
        <v>289</v>
      </c>
    </row>
    <row r="154" spans="1:9" x14ac:dyDescent="0.2">
      <c r="A154" s="135" t="s">
        <v>30</v>
      </c>
      <c r="B154" s="136">
        <f>'DOE25'!F493</f>
        <v>0</v>
      </c>
      <c r="C154" s="136">
        <f>'DOE25'!G493</f>
        <v>0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289</v>
      </c>
    </row>
    <row r="155" spans="1:9" x14ac:dyDescent="0.2">
      <c r="A155" s="135" t="s">
        <v>31</v>
      </c>
      <c r="B155" s="136">
        <f>'DOE25'!F494</f>
        <v>0</v>
      </c>
      <c r="C155" s="136">
        <f>'DOE25'!G494</f>
        <v>0</v>
      </c>
      <c r="D155" s="136">
        <f>'DOE25'!H494</f>
        <v>0</v>
      </c>
      <c r="E155" s="136">
        <f>'DOE25'!I494</f>
        <v>0</v>
      </c>
      <c r="F155" s="136">
        <f>'DOE25'!J494</f>
        <v>0</v>
      </c>
      <c r="G155" s="24" t="s">
        <v>289</v>
      </c>
    </row>
    <row r="156" spans="1:9" x14ac:dyDescent="0.2">
      <c r="A156" s="22" t="s">
        <v>32</v>
      </c>
      <c r="B156" s="136">
        <f>'DOE25'!F495</f>
        <v>0</v>
      </c>
      <c r="C156" s="136">
        <f>'DOE25'!G495</f>
        <v>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>SUM(B156:F156)</f>
        <v>0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0</v>
      </c>
      <c r="C158" s="136">
        <f>'DOE25'!G497</f>
        <v>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0</v>
      </c>
    </row>
    <row r="159" spans="1:9" x14ac:dyDescent="0.2">
      <c r="A159" s="22" t="s">
        <v>35</v>
      </c>
      <c r="B159" s="136">
        <f>'DOE25'!F498</f>
        <v>0</v>
      </c>
      <c r="C159" s="136">
        <f>'DOE25'!G498</f>
        <v>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0</v>
      </c>
    </row>
    <row r="160" spans="1:9" x14ac:dyDescent="0.2">
      <c r="A160" s="22" t="s">
        <v>36</v>
      </c>
      <c r="B160" s="136">
        <f>'DOE25'!F499</f>
        <v>0</v>
      </c>
      <c r="C160" s="136">
        <f>'DOE25'!G499</f>
        <v>0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0</v>
      </c>
    </row>
    <row r="161" spans="1:7" x14ac:dyDescent="0.2">
      <c r="A161" s="22" t="s">
        <v>37</v>
      </c>
      <c r="B161" s="136">
        <f>'DOE25'!F500</f>
        <v>0</v>
      </c>
      <c r="C161" s="136">
        <f>'DOE25'!G500</f>
        <v>0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0</v>
      </c>
    </row>
    <row r="162" spans="1:7" x14ac:dyDescent="0.2">
      <c r="A162" s="22" t="s">
        <v>38</v>
      </c>
      <c r="B162" s="136">
        <f>'DOE25'!F501</f>
        <v>0</v>
      </c>
      <c r="C162" s="136">
        <f>'DOE25'!G501</f>
        <v>0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0</v>
      </c>
    </row>
    <row r="163" spans="1:7" x14ac:dyDescent="0.2">
      <c r="A163" s="22" t="s">
        <v>39</v>
      </c>
      <c r="B163" s="136">
        <f>'DOE25'!F502</f>
        <v>0</v>
      </c>
      <c r="C163" s="136">
        <f>'DOE25'!G502</f>
        <v>0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0</v>
      </c>
    </row>
    <row r="164" spans="1:7" x14ac:dyDescent="0.2">
      <c r="A164" s="22" t="s">
        <v>246</v>
      </c>
      <c r="B164" s="136">
        <f>'DOE25'!F503</f>
        <v>0</v>
      </c>
      <c r="C164" s="136">
        <f>'DOE25'!G503</f>
        <v>0</v>
      </c>
      <c r="D164" s="136">
        <f>'DOE25'!H503</f>
        <v>0</v>
      </c>
      <c r="E164" s="136">
        <f>'DOE25'!I503</f>
        <v>0</v>
      </c>
      <c r="F164" s="136">
        <f>'DOE25'!J503</f>
        <v>0</v>
      </c>
      <c r="G164" s="137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7" t="s">
        <v>740</v>
      </c>
      <c r="B1" s="287"/>
      <c r="C1" s="287"/>
      <c r="D1" s="287"/>
    </row>
    <row r="2" spans="1:4" x14ac:dyDescent="0.2">
      <c r="A2" s="186" t="s">
        <v>717</v>
      </c>
      <c r="B2" s="185" t="str">
        <f>'DOE25'!A2</f>
        <v>White Mountains Regional</v>
      </c>
    </row>
    <row r="3" spans="1:4" x14ac:dyDescent="0.2">
      <c r="B3" s="187" t="s">
        <v>896</v>
      </c>
    </row>
    <row r="4" spans="1:4" x14ac:dyDescent="0.2">
      <c r="B4" t="s">
        <v>61</v>
      </c>
      <c r="C4" s="178">
        <f>IF('DOE25'!F665+'DOE25'!F670=0,0,ROUND('DOE25'!F672,0))</f>
        <v>14024</v>
      </c>
    </row>
    <row r="5" spans="1:4" x14ac:dyDescent="0.2">
      <c r="B5" t="s">
        <v>704</v>
      </c>
      <c r="C5" s="178">
        <f>IF('DOE25'!G665+'DOE25'!G670=0,0,ROUND('DOE25'!G672,0))</f>
        <v>0</v>
      </c>
    </row>
    <row r="6" spans="1:4" x14ac:dyDescent="0.2">
      <c r="B6" t="s">
        <v>62</v>
      </c>
      <c r="C6" s="178">
        <f>IF('DOE25'!H665+'DOE25'!H670=0,0,ROUND('DOE25'!H672,0))</f>
        <v>14769</v>
      </c>
    </row>
    <row r="7" spans="1:4" x14ac:dyDescent="0.2">
      <c r="B7" t="s">
        <v>705</v>
      </c>
      <c r="C7" s="178">
        <f>IF('DOE25'!I665+'DOE25'!I670=0,0,ROUND('DOE25'!I672,0))</f>
        <v>14277</v>
      </c>
    </row>
    <row r="9" spans="1:4" x14ac:dyDescent="0.2">
      <c r="A9" s="186" t="s">
        <v>94</v>
      </c>
      <c r="B9" s="187" t="s">
        <v>897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6491973</v>
      </c>
      <c r="D10" s="181">
        <f>ROUND((C10/$C$28)*100,1)</f>
        <v>35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2691787</v>
      </c>
      <c r="D11" s="181">
        <f>ROUND((C11/$C$28)*100,1)</f>
        <v>14.5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514436</v>
      </c>
      <c r="D12" s="181">
        <f>ROUND((C12/$C$28)*100,1)</f>
        <v>2.8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470883</v>
      </c>
      <c r="D13" s="181">
        <f>ROUND((C13/$C$28)*100,1)</f>
        <v>2.5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1575031</v>
      </c>
      <c r="D15" s="181">
        <f t="shared" ref="D15:D27" si="0">ROUND((C15/$C$28)*100,1)</f>
        <v>8.5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479058</v>
      </c>
      <c r="D16" s="181">
        <f t="shared" si="0"/>
        <v>2.6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1259872</v>
      </c>
      <c r="D17" s="181">
        <f t="shared" si="0"/>
        <v>6.8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1316310</v>
      </c>
      <c r="D18" s="181">
        <f t="shared" si="0"/>
        <v>7.1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213946</v>
      </c>
      <c r="D19" s="181">
        <f t="shared" si="0"/>
        <v>1.2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1989585</v>
      </c>
      <c r="D20" s="181">
        <f t="shared" si="0"/>
        <v>10.7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1085908</v>
      </c>
      <c r="D21" s="181">
        <f t="shared" si="0"/>
        <v>5.9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10906</v>
      </c>
      <c r="D24" s="181">
        <f t="shared" si="0"/>
        <v>0.1</v>
      </c>
    </row>
    <row r="25" spans="1:4" x14ac:dyDescent="0.2">
      <c r="A25">
        <v>5120</v>
      </c>
      <c r="B25" t="s">
        <v>720</v>
      </c>
      <c r="C25" s="178">
        <f>ROUND('DOE25'!L261+'DOE25'!L342,0)</f>
        <v>0</v>
      </c>
      <c r="D25" s="181">
        <f t="shared" si="0"/>
        <v>0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56640.6</v>
      </c>
      <c r="D26" s="181">
        <f t="shared" si="0"/>
        <v>0.3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371138.24</v>
      </c>
      <c r="D27" s="181">
        <f t="shared" si="0"/>
        <v>2</v>
      </c>
    </row>
    <row r="28" spans="1:4" x14ac:dyDescent="0.2">
      <c r="B28" s="186" t="s">
        <v>723</v>
      </c>
      <c r="C28" s="179">
        <f>SUM(C10:C27)</f>
        <v>18527473.84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17404</v>
      </c>
    </row>
    <row r="30" spans="1:4" x14ac:dyDescent="0.2">
      <c r="B30" s="186" t="s">
        <v>729</v>
      </c>
      <c r="C30" s="179">
        <f>SUM(C28:C29)</f>
        <v>18544877.84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0</v>
      </c>
    </row>
    <row r="34" spans="1:4" x14ac:dyDescent="0.2">
      <c r="A34" s="186" t="s">
        <v>94</v>
      </c>
      <c r="B34" s="187" t="s">
        <v>898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7906130</v>
      </c>
      <c r="D35" s="181">
        <f t="shared" ref="D35:D40" si="1">ROUND((C35/$C$41)*100,1)</f>
        <v>41.9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570448.29000000097</v>
      </c>
      <c r="D36" s="181">
        <f t="shared" si="1"/>
        <v>3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8929237</v>
      </c>
      <c r="D37" s="181">
        <f t="shared" si="1"/>
        <v>47.3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109700</v>
      </c>
      <c r="D38" s="181">
        <f t="shared" si="1"/>
        <v>0.6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1366291</v>
      </c>
      <c r="D39" s="181">
        <f t="shared" si="1"/>
        <v>7.2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18881806.289999999</v>
      </c>
      <c r="D41" s="183">
        <f>SUM(D35:D40)</f>
        <v>99.999999999999986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8" sqref="C18:M1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2" t="s">
        <v>770</v>
      </c>
      <c r="B1" s="293"/>
      <c r="C1" s="293"/>
      <c r="D1" s="293"/>
      <c r="E1" s="293"/>
      <c r="F1" s="293"/>
      <c r="G1" s="293"/>
      <c r="H1" s="293"/>
      <c r="I1" s="293"/>
      <c r="J1" s="212"/>
      <c r="K1" s="212"/>
      <c r="L1" s="212"/>
      <c r="M1" s="213"/>
    </row>
    <row r="2" spans="1:26" ht="12.75" x14ac:dyDescent="0.2">
      <c r="A2" s="298" t="s">
        <v>767</v>
      </c>
      <c r="B2" s="299"/>
      <c r="C2" s="299"/>
      <c r="D2" s="299"/>
      <c r="E2" s="299"/>
      <c r="F2" s="296" t="str">
        <f>'DOE25'!A2</f>
        <v>White Mountains Regional</v>
      </c>
      <c r="G2" s="297"/>
      <c r="H2" s="297"/>
      <c r="I2" s="297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4" t="s">
        <v>771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 x14ac:dyDescent="0.2">
      <c r="A4" s="217">
        <v>2</v>
      </c>
      <c r="B4" s="218">
        <v>17</v>
      </c>
      <c r="C4" s="290" t="s">
        <v>911</v>
      </c>
      <c r="D4" s="290"/>
      <c r="E4" s="290"/>
      <c r="F4" s="290"/>
      <c r="G4" s="290"/>
      <c r="H4" s="290"/>
      <c r="I4" s="290"/>
      <c r="J4" s="290"/>
      <c r="K4" s="290"/>
      <c r="L4" s="290"/>
      <c r="M4" s="291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7"/>
      <c r="B5" s="218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7">
        <v>4</v>
      </c>
      <c r="B6" s="218">
        <v>10</v>
      </c>
      <c r="C6" s="290" t="s">
        <v>912</v>
      </c>
      <c r="D6" s="290"/>
      <c r="E6" s="290"/>
      <c r="F6" s="290"/>
      <c r="G6" s="290"/>
      <c r="H6" s="290"/>
      <c r="I6" s="290"/>
      <c r="J6" s="290"/>
      <c r="K6" s="290"/>
      <c r="L6" s="290"/>
      <c r="M6" s="291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7"/>
      <c r="B7" s="218"/>
      <c r="C7" s="290" t="s">
        <v>913</v>
      </c>
      <c r="D7" s="290"/>
      <c r="E7" s="290"/>
      <c r="F7" s="290"/>
      <c r="G7" s="290"/>
      <c r="H7" s="290"/>
      <c r="I7" s="290"/>
      <c r="J7" s="290"/>
      <c r="K7" s="290"/>
      <c r="L7" s="290"/>
      <c r="M7" s="291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7"/>
      <c r="B8" s="218"/>
      <c r="C8" s="21" t="s">
        <v>914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7"/>
      <c r="B9" s="218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7"/>
      <c r="B10" s="218"/>
      <c r="C10" s="290" t="s">
        <v>915</v>
      </c>
      <c r="D10" s="290"/>
      <c r="E10" s="290"/>
      <c r="F10" s="290"/>
      <c r="G10" s="290"/>
      <c r="H10" s="290"/>
      <c r="I10" s="290"/>
      <c r="J10" s="290"/>
      <c r="K10" s="290"/>
      <c r="L10" s="290"/>
      <c r="M10" s="291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7"/>
      <c r="B11" s="218"/>
      <c r="C11" s="290" t="s">
        <v>916</v>
      </c>
      <c r="D11" s="290"/>
      <c r="E11" s="290"/>
      <c r="F11" s="290"/>
      <c r="G11" s="290"/>
      <c r="H11" s="290"/>
      <c r="I11" s="290"/>
      <c r="J11" s="290"/>
      <c r="K11" s="290"/>
      <c r="L11" s="290"/>
      <c r="M11" s="291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7"/>
      <c r="B12" s="218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1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7"/>
      <c r="B13" s="218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1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7"/>
      <c r="B14" s="218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1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7"/>
      <c r="B15" s="218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7"/>
      <c r="B16" s="218"/>
      <c r="C16" s="290"/>
      <c r="D16" s="290"/>
      <c r="E16" s="290"/>
      <c r="F16" s="290"/>
      <c r="G16" s="290"/>
      <c r="H16" s="290"/>
      <c r="I16" s="290"/>
      <c r="J16" s="290"/>
      <c r="K16" s="290"/>
      <c r="L16" s="290"/>
      <c r="M16" s="291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7"/>
      <c r="B17" s="218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1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7"/>
      <c r="B18" s="218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1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7"/>
      <c r="B19" s="218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1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7"/>
      <c r="B20" s="218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1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7"/>
      <c r="B21" s="218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1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7"/>
      <c r="B22" s="218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1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7"/>
      <c r="B23" s="218"/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1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7"/>
      <c r="B24" s="218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1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7"/>
      <c r="B25" s="218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1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7"/>
      <c r="B26" s="218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1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7"/>
      <c r="B27" s="218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1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7"/>
      <c r="B28" s="218"/>
      <c r="C28" s="290"/>
      <c r="D28" s="290"/>
      <c r="E28" s="290"/>
      <c r="F28" s="290"/>
      <c r="G28" s="290"/>
      <c r="H28" s="290"/>
      <c r="I28" s="290"/>
      <c r="J28" s="290"/>
      <c r="K28" s="290"/>
      <c r="L28" s="290"/>
      <c r="M28" s="291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7"/>
      <c r="B29" s="218"/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1"/>
      <c r="N29" s="210"/>
      <c r="O29" s="210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06"/>
      <c r="AB29" s="206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6"/>
      <c r="AO29" s="206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6"/>
      <c r="BB29" s="206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6"/>
      <c r="BO29" s="206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6"/>
      <c r="CB29" s="206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6"/>
      <c r="CO29" s="206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6"/>
      <c r="DB29" s="206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6"/>
      <c r="DO29" s="206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6"/>
      <c r="EB29" s="206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6"/>
      <c r="EO29" s="206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6"/>
      <c r="FB29" s="206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6"/>
      <c r="FO29" s="206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6"/>
      <c r="GB29" s="206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6"/>
      <c r="GO29" s="206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6"/>
      <c r="HB29" s="206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6"/>
      <c r="HO29" s="206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6"/>
      <c r="IB29" s="206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6"/>
      <c r="IO29" s="206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7"/>
      <c r="B30" s="218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1"/>
      <c r="N30" s="210"/>
      <c r="O30" s="210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06"/>
      <c r="AB30" s="206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6"/>
      <c r="AO30" s="206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6"/>
      <c r="BB30" s="206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6"/>
      <c r="BO30" s="206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6"/>
      <c r="CB30" s="206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6"/>
      <c r="CO30" s="206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6"/>
      <c r="DB30" s="206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6"/>
      <c r="DO30" s="206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6"/>
      <c r="EB30" s="206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6"/>
      <c r="EO30" s="206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6"/>
      <c r="FB30" s="206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6"/>
      <c r="FO30" s="206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6"/>
      <c r="GB30" s="206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6"/>
      <c r="GO30" s="206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6"/>
      <c r="HB30" s="206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6"/>
      <c r="HO30" s="206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6"/>
      <c r="IB30" s="206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6"/>
      <c r="IO30" s="206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7"/>
      <c r="B31" s="218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1"/>
      <c r="N31" s="210"/>
      <c r="O31" s="210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06"/>
      <c r="AB31" s="206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6"/>
      <c r="AO31" s="206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6"/>
      <c r="BB31" s="206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6"/>
      <c r="BO31" s="206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6"/>
      <c r="CB31" s="206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6"/>
      <c r="CO31" s="206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6"/>
      <c r="DB31" s="206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6"/>
      <c r="DO31" s="206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6"/>
      <c r="EB31" s="206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6"/>
      <c r="EO31" s="206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6"/>
      <c r="FB31" s="206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6"/>
      <c r="FO31" s="206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6"/>
      <c r="GB31" s="206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6"/>
      <c r="GO31" s="206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6"/>
      <c r="HB31" s="206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6"/>
      <c r="HO31" s="206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6"/>
      <c r="IB31" s="206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6"/>
      <c r="IO31" s="206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7"/>
      <c r="B32" s="218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1"/>
      <c r="N32" s="222"/>
      <c r="O32" s="222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1"/>
      <c r="AA32" s="217"/>
      <c r="AB32" s="218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291"/>
      <c r="AN32" s="217"/>
      <c r="AO32" s="218"/>
      <c r="AP32" s="290"/>
      <c r="AQ32" s="290"/>
      <c r="AR32" s="290"/>
      <c r="AS32" s="290"/>
      <c r="AT32" s="290"/>
      <c r="AU32" s="290"/>
      <c r="AV32" s="290"/>
      <c r="AW32" s="290"/>
      <c r="AX32" s="290"/>
      <c r="AY32" s="290"/>
      <c r="AZ32" s="291"/>
      <c r="BA32" s="217"/>
      <c r="BB32" s="218"/>
      <c r="BC32" s="290"/>
      <c r="BD32" s="290"/>
      <c r="BE32" s="290"/>
      <c r="BF32" s="290"/>
      <c r="BG32" s="290"/>
      <c r="BH32" s="290"/>
      <c r="BI32" s="290"/>
      <c r="BJ32" s="290"/>
      <c r="BK32" s="290"/>
      <c r="BL32" s="290"/>
      <c r="BM32" s="291"/>
      <c r="BN32" s="217"/>
      <c r="BO32" s="218"/>
      <c r="BP32" s="290"/>
      <c r="BQ32" s="290"/>
      <c r="BR32" s="290"/>
      <c r="BS32" s="290"/>
      <c r="BT32" s="290"/>
      <c r="BU32" s="290"/>
      <c r="BV32" s="290"/>
      <c r="BW32" s="290"/>
      <c r="BX32" s="290"/>
      <c r="BY32" s="290"/>
      <c r="BZ32" s="291"/>
      <c r="CA32" s="217"/>
      <c r="CB32" s="218"/>
      <c r="CC32" s="290"/>
      <c r="CD32" s="290"/>
      <c r="CE32" s="290"/>
      <c r="CF32" s="290"/>
      <c r="CG32" s="290"/>
      <c r="CH32" s="290"/>
      <c r="CI32" s="290"/>
      <c r="CJ32" s="290"/>
      <c r="CK32" s="290"/>
      <c r="CL32" s="290"/>
      <c r="CM32" s="291"/>
      <c r="CN32" s="217"/>
      <c r="CO32" s="218"/>
      <c r="CP32" s="290"/>
      <c r="CQ32" s="290"/>
      <c r="CR32" s="290"/>
      <c r="CS32" s="290"/>
      <c r="CT32" s="290"/>
      <c r="CU32" s="290"/>
      <c r="CV32" s="290"/>
      <c r="CW32" s="290"/>
      <c r="CX32" s="290"/>
      <c r="CY32" s="290"/>
      <c r="CZ32" s="291"/>
      <c r="DA32" s="217"/>
      <c r="DB32" s="218"/>
      <c r="DC32" s="290"/>
      <c r="DD32" s="290"/>
      <c r="DE32" s="290"/>
      <c r="DF32" s="290"/>
      <c r="DG32" s="290"/>
      <c r="DH32" s="290"/>
      <c r="DI32" s="290"/>
      <c r="DJ32" s="290"/>
      <c r="DK32" s="290"/>
      <c r="DL32" s="290"/>
      <c r="DM32" s="291"/>
      <c r="DN32" s="217"/>
      <c r="DO32" s="218"/>
      <c r="DP32" s="290"/>
      <c r="DQ32" s="290"/>
      <c r="DR32" s="290"/>
      <c r="DS32" s="290"/>
      <c r="DT32" s="290"/>
      <c r="DU32" s="290"/>
      <c r="DV32" s="290"/>
      <c r="DW32" s="290"/>
      <c r="DX32" s="290"/>
      <c r="DY32" s="290"/>
      <c r="DZ32" s="291"/>
      <c r="EA32" s="217"/>
      <c r="EB32" s="218"/>
      <c r="EC32" s="290"/>
      <c r="ED32" s="290"/>
      <c r="EE32" s="290"/>
      <c r="EF32" s="290"/>
      <c r="EG32" s="290"/>
      <c r="EH32" s="290"/>
      <c r="EI32" s="290"/>
      <c r="EJ32" s="290"/>
      <c r="EK32" s="290"/>
      <c r="EL32" s="290"/>
      <c r="EM32" s="291"/>
      <c r="EN32" s="217"/>
      <c r="EO32" s="218"/>
      <c r="EP32" s="290"/>
      <c r="EQ32" s="290"/>
      <c r="ER32" s="290"/>
      <c r="ES32" s="290"/>
      <c r="ET32" s="290"/>
      <c r="EU32" s="290"/>
      <c r="EV32" s="290"/>
      <c r="EW32" s="290"/>
      <c r="EX32" s="290"/>
      <c r="EY32" s="290"/>
      <c r="EZ32" s="291"/>
      <c r="FA32" s="217"/>
      <c r="FB32" s="218"/>
      <c r="FC32" s="290"/>
      <c r="FD32" s="290"/>
      <c r="FE32" s="290"/>
      <c r="FF32" s="290"/>
      <c r="FG32" s="290"/>
      <c r="FH32" s="290"/>
      <c r="FI32" s="290"/>
      <c r="FJ32" s="290"/>
      <c r="FK32" s="290"/>
      <c r="FL32" s="290"/>
      <c r="FM32" s="291"/>
      <c r="FN32" s="217"/>
      <c r="FO32" s="218"/>
      <c r="FP32" s="290"/>
      <c r="FQ32" s="290"/>
      <c r="FR32" s="290"/>
      <c r="FS32" s="290"/>
      <c r="FT32" s="290"/>
      <c r="FU32" s="290"/>
      <c r="FV32" s="290"/>
      <c r="FW32" s="290"/>
      <c r="FX32" s="290"/>
      <c r="FY32" s="290"/>
      <c r="FZ32" s="291"/>
      <c r="GA32" s="217"/>
      <c r="GB32" s="218"/>
      <c r="GC32" s="290"/>
      <c r="GD32" s="290"/>
      <c r="GE32" s="290"/>
      <c r="GF32" s="290"/>
      <c r="GG32" s="290"/>
      <c r="GH32" s="290"/>
      <c r="GI32" s="290"/>
      <c r="GJ32" s="290"/>
      <c r="GK32" s="290"/>
      <c r="GL32" s="290"/>
      <c r="GM32" s="291"/>
      <c r="GN32" s="217"/>
      <c r="GO32" s="218"/>
      <c r="GP32" s="290"/>
      <c r="GQ32" s="290"/>
      <c r="GR32" s="290"/>
      <c r="GS32" s="290"/>
      <c r="GT32" s="290"/>
      <c r="GU32" s="290"/>
      <c r="GV32" s="290"/>
      <c r="GW32" s="290"/>
      <c r="GX32" s="290"/>
      <c r="GY32" s="290"/>
      <c r="GZ32" s="291"/>
      <c r="HA32" s="217"/>
      <c r="HB32" s="218"/>
      <c r="HC32" s="290"/>
      <c r="HD32" s="290"/>
      <c r="HE32" s="290"/>
      <c r="HF32" s="290"/>
      <c r="HG32" s="290"/>
      <c r="HH32" s="290"/>
      <c r="HI32" s="290"/>
      <c r="HJ32" s="290"/>
      <c r="HK32" s="290"/>
      <c r="HL32" s="290"/>
      <c r="HM32" s="291"/>
      <c r="HN32" s="217"/>
      <c r="HO32" s="218"/>
      <c r="HP32" s="290"/>
      <c r="HQ32" s="290"/>
      <c r="HR32" s="290"/>
      <c r="HS32" s="290"/>
      <c r="HT32" s="290"/>
      <c r="HU32" s="290"/>
      <c r="HV32" s="290"/>
      <c r="HW32" s="290"/>
      <c r="HX32" s="290"/>
      <c r="HY32" s="290"/>
      <c r="HZ32" s="291"/>
      <c r="IA32" s="217"/>
      <c r="IB32" s="218"/>
      <c r="IC32" s="290"/>
      <c r="ID32" s="290"/>
      <c r="IE32" s="290"/>
      <c r="IF32" s="290"/>
      <c r="IG32" s="290"/>
      <c r="IH32" s="290"/>
      <c r="II32" s="290"/>
      <c r="IJ32" s="290"/>
      <c r="IK32" s="290"/>
      <c r="IL32" s="290"/>
      <c r="IM32" s="291"/>
      <c r="IN32" s="217"/>
      <c r="IO32" s="218"/>
      <c r="IP32" s="290"/>
      <c r="IQ32" s="290"/>
      <c r="IR32" s="290"/>
      <c r="IS32" s="290"/>
      <c r="IT32" s="290"/>
      <c r="IU32" s="290"/>
      <c r="IV32" s="290"/>
    </row>
    <row r="33" spans="1:256" x14ac:dyDescent="0.2">
      <c r="A33" s="217"/>
      <c r="B33" s="218"/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1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90"/>
      <c r="D34" s="290"/>
      <c r="E34" s="290"/>
      <c r="F34" s="290"/>
      <c r="G34" s="290"/>
      <c r="H34" s="290"/>
      <c r="I34" s="290"/>
      <c r="J34" s="290"/>
      <c r="K34" s="290"/>
      <c r="L34" s="290"/>
      <c r="M34" s="291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90"/>
      <c r="D35" s="290"/>
      <c r="E35" s="290"/>
      <c r="F35" s="290"/>
      <c r="G35" s="290"/>
      <c r="H35" s="290"/>
      <c r="I35" s="290"/>
      <c r="J35" s="290"/>
      <c r="K35" s="290"/>
      <c r="L35" s="290"/>
      <c r="M35" s="291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90"/>
      <c r="D36" s="290"/>
      <c r="E36" s="290"/>
      <c r="F36" s="290"/>
      <c r="G36" s="290"/>
      <c r="H36" s="290"/>
      <c r="I36" s="290"/>
      <c r="J36" s="290"/>
      <c r="K36" s="290"/>
      <c r="L36" s="290"/>
      <c r="M36" s="291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90"/>
      <c r="D37" s="290"/>
      <c r="E37" s="290"/>
      <c r="F37" s="290"/>
      <c r="G37" s="290"/>
      <c r="H37" s="290"/>
      <c r="I37" s="290"/>
      <c r="J37" s="290"/>
      <c r="K37" s="290"/>
      <c r="L37" s="290"/>
      <c r="M37" s="291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90"/>
      <c r="D38" s="290"/>
      <c r="E38" s="290"/>
      <c r="F38" s="290"/>
      <c r="G38" s="290"/>
      <c r="H38" s="290"/>
      <c r="I38" s="290"/>
      <c r="J38" s="290"/>
      <c r="K38" s="290"/>
      <c r="L38" s="290"/>
      <c r="M38" s="291"/>
      <c r="N38" s="210"/>
      <c r="O38" s="210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06"/>
      <c r="AB38" s="206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6"/>
      <c r="AO38" s="206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6"/>
      <c r="BB38" s="206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6"/>
      <c r="BO38" s="206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6"/>
      <c r="CB38" s="206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6"/>
      <c r="CO38" s="206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6"/>
      <c r="DB38" s="206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6"/>
      <c r="DO38" s="206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6"/>
      <c r="EB38" s="206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6"/>
      <c r="EO38" s="206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6"/>
      <c r="FB38" s="206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6"/>
      <c r="FO38" s="206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6"/>
      <c r="GB38" s="206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6"/>
      <c r="GO38" s="206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6"/>
      <c r="HB38" s="206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6"/>
      <c r="HO38" s="206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6"/>
      <c r="IB38" s="206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6"/>
      <c r="IO38" s="206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7"/>
      <c r="B39" s="218"/>
      <c r="C39" s="290"/>
      <c r="D39" s="290"/>
      <c r="E39" s="290"/>
      <c r="F39" s="290"/>
      <c r="G39" s="290"/>
      <c r="H39" s="290"/>
      <c r="I39" s="290"/>
      <c r="J39" s="290"/>
      <c r="K39" s="290"/>
      <c r="L39" s="290"/>
      <c r="M39" s="291"/>
      <c r="N39" s="210"/>
      <c r="O39" s="210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06"/>
      <c r="AB39" s="206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6"/>
      <c r="AO39" s="206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6"/>
      <c r="BB39" s="206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6"/>
      <c r="BO39" s="206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6"/>
      <c r="CB39" s="206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6"/>
      <c r="CO39" s="206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6"/>
      <c r="DB39" s="206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6"/>
      <c r="DO39" s="206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6"/>
      <c r="EB39" s="206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6"/>
      <c r="EO39" s="206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6"/>
      <c r="FB39" s="206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6"/>
      <c r="FO39" s="206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6"/>
      <c r="GB39" s="206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6"/>
      <c r="GO39" s="206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6"/>
      <c r="HB39" s="206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6"/>
      <c r="HO39" s="206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6"/>
      <c r="IB39" s="206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6"/>
      <c r="IO39" s="206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7"/>
      <c r="B40" s="218"/>
      <c r="C40" s="290"/>
      <c r="D40" s="290"/>
      <c r="E40" s="290"/>
      <c r="F40" s="290"/>
      <c r="G40" s="290"/>
      <c r="H40" s="290"/>
      <c r="I40" s="290"/>
      <c r="J40" s="290"/>
      <c r="K40" s="290"/>
      <c r="L40" s="290"/>
      <c r="M40" s="291"/>
      <c r="N40" s="210"/>
      <c r="O40" s="210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06"/>
      <c r="AB40" s="206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6"/>
      <c r="AO40" s="206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6"/>
      <c r="BB40" s="206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6"/>
      <c r="BO40" s="206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6"/>
      <c r="CB40" s="206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6"/>
      <c r="CO40" s="206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6"/>
      <c r="DB40" s="206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6"/>
      <c r="DO40" s="206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6"/>
      <c r="EB40" s="206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6"/>
      <c r="EO40" s="206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6"/>
      <c r="FB40" s="206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6"/>
      <c r="FO40" s="206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6"/>
      <c r="GB40" s="206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6"/>
      <c r="GO40" s="206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6"/>
      <c r="HB40" s="206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6"/>
      <c r="HO40" s="206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6"/>
      <c r="IB40" s="206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6"/>
      <c r="IO40" s="206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7"/>
      <c r="B41" s="218"/>
      <c r="C41" s="290"/>
      <c r="D41" s="290"/>
      <c r="E41" s="290"/>
      <c r="F41" s="290"/>
      <c r="G41" s="290"/>
      <c r="H41" s="290"/>
      <c r="I41" s="290"/>
      <c r="J41" s="290"/>
      <c r="K41" s="290"/>
      <c r="L41" s="290"/>
      <c r="M41" s="291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90"/>
      <c r="D42" s="290"/>
      <c r="E42" s="290"/>
      <c r="F42" s="290"/>
      <c r="G42" s="290"/>
      <c r="H42" s="290"/>
      <c r="I42" s="290"/>
      <c r="J42" s="290"/>
      <c r="K42" s="290"/>
      <c r="L42" s="290"/>
      <c r="M42" s="291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90"/>
      <c r="D43" s="290"/>
      <c r="E43" s="290"/>
      <c r="F43" s="290"/>
      <c r="G43" s="290"/>
      <c r="H43" s="290"/>
      <c r="I43" s="290"/>
      <c r="J43" s="290"/>
      <c r="K43" s="290"/>
      <c r="L43" s="290"/>
      <c r="M43" s="291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90"/>
      <c r="D44" s="290"/>
      <c r="E44" s="290"/>
      <c r="F44" s="290"/>
      <c r="G44" s="290"/>
      <c r="H44" s="290"/>
      <c r="I44" s="290"/>
      <c r="J44" s="290"/>
      <c r="K44" s="290"/>
      <c r="L44" s="290"/>
      <c r="M44" s="291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90"/>
      <c r="D45" s="290"/>
      <c r="E45" s="290"/>
      <c r="F45" s="290"/>
      <c r="G45" s="290"/>
      <c r="H45" s="290"/>
      <c r="I45" s="290"/>
      <c r="J45" s="290"/>
      <c r="K45" s="290"/>
      <c r="L45" s="290"/>
      <c r="M45" s="291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1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90"/>
      <c r="D47" s="290"/>
      <c r="E47" s="290"/>
      <c r="F47" s="290"/>
      <c r="G47" s="290"/>
      <c r="H47" s="290"/>
      <c r="I47" s="290"/>
      <c r="J47" s="290"/>
      <c r="K47" s="290"/>
      <c r="L47" s="290"/>
      <c r="M47" s="291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90"/>
      <c r="D48" s="290"/>
      <c r="E48" s="290"/>
      <c r="F48" s="290"/>
      <c r="G48" s="290"/>
      <c r="H48" s="290"/>
      <c r="I48" s="290"/>
      <c r="J48" s="290"/>
      <c r="K48" s="290"/>
      <c r="L48" s="290"/>
      <c r="M48" s="291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90"/>
      <c r="D49" s="290"/>
      <c r="E49" s="290"/>
      <c r="F49" s="290"/>
      <c r="G49" s="290"/>
      <c r="H49" s="290"/>
      <c r="I49" s="290"/>
      <c r="J49" s="290"/>
      <c r="K49" s="290"/>
      <c r="L49" s="290"/>
      <c r="M49" s="291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90"/>
      <c r="D50" s="290"/>
      <c r="E50" s="290"/>
      <c r="F50" s="290"/>
      <c r="G50" s="290"/>
      <c r="H50" s="290"/>
      <c r="I50" s="290"/>
      <c r="J50" s="290"/>
      <c r="K50" s="290"/>
      <c r="L50" s="290"/>
      <c r="M50" s="291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7"/>
      <c r="B51" s="218"/>
      <c r="C51" s="290"/>
      <c r="D51" s="290"/>
      <c r="E51" s="290"/>
      <c r="F51" s="290"/>
      <c r="G51" s="290"/>
      <c r="H51" s="290"/>
      <c r="I51" s="290"/>
      <c r="J51" s="290"/>
      <c r="K51" s="290"/>
      <c r="L51" s="290"/>
      <c r="M51" s="291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7"/>
      <c r="B52" s="218"/>
      <c r="C52" s="290"/>
      <c r="D52" s="290"/>
      <c r="E52" s="290"/>
      <c r="F52" s="290"/>
      <c r="G52" s="290"/>
      <c r="H52" s="290"/>
      <c r="I52" s="290"/>
      <c r="J52" s="290"/>
      <c r="K52" s="290"/>
      <c r="L52" s="290"/>
      <c r="M52" s="291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7"/>
      <c r="B53" s="218"/>
      <c r="C53" s="290"/>
      <c r="D53" s="290"/>
      <c r="E53" s="290"/>
      <c r="F53" s="290"/>
      <c r="G53" s="290"/>
      <c r="H53" s="290"/>
      <c r="I53" s="290"/>
      <c r="J53" s="290"/>
      <c r="K53" s="290"/>
      <c r="L53" s="290"/>
      <c r="M53" s="291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7"/>
      <c r="B54" s="218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1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7"/>
      <c r="B55" s="218"/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1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7"/>
      <c r="B56" s="218"/>
      <c r="C56" s="290"/>
      <c r="D56" s="290"/>
      <c r="E56" s="290"/>
      <c r="F56" s="290"/>
      <c r="G56" s="290"/>
      <c r="H56" s="290"/>
      <c r="I56" s="290"/>
      <c r="J56" s="290"/>
      <c r="K56" s="290"/>
      <c r="L56" s="290"/>
      <c r="M56" s="291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7"/>
      <c r="B57" s="218"/>
      <c r="C57" s="290"/>
      <c r="D57" s="290"/>
      <c r="E57" s="290"/>
      <c r="F57" s="290"/>
      <c r="G57" s="290"/>
      <c r="H57" s="290"/>
      <c r="I57" s="290"/>
      <c r="J57" s="290"/>
      <c r="K57" s="290"/>
      <c r="L57" s="290"/>
      <c r="M57" s="291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7"/>
      <c r="B58" s="218"/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1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7"/>
      <c r="B59" s="218"/>
      <c r="C59" s="290"/>
      <c r="D59" s="290"/>
      <c r="E59" s="290"/>
      <c r="F59" s="290"/>
      <c r="G59" s="290"/>
      <c r="H59" s="290"/>
      <c r="I59" s="290"/>
      <c r="J59" s="290"/>
      <c r="K59" s="290"/>
      <c r="L59" s="290"/>
      <c r="M59" s="291"/>
    </row>
    <row r="60" spans="1:256" x14ac:dyDescent="0.2">
      <c r="A60" s="217"/>
      <c r="B60" s="218"/>
      <c r="C60" s="290"/>
      <c r="D60" s="290"/>
      <c r="E60" s="290"/>
      <c r="F60" s="290"/>
      <c r="G60" s="290"/>
      <c r="H60" s="290"/>
      <c r="I60" s="290"/>
      <c r="J60" s="290"/>
      <c r="K60" s="290"/>
      <c r="L60" s="290"/>
      <c r="M60" s="291"/>
    </row>
    <row r="61" spans="1:256" x14ac:dyDescent="0.2">
      <c r="A61" s="217"/>
      <c r="B61" s="218"/>
      <c r="C61" s="290"/>
      <c r="D61" s="290"/>
      <c r="E61" s="290"/>
      <c r="F61" s="290"/>
      <c r="G61" s="290"/>
      <c r="H61" s="290"/>
      <c r="I61" s="290"/>
      <c r="J61" s="290"/>
      <c r="K61" s="290"/>
      <c r="L61" s="290"/>
      <c r="M61" s="291"/>
    </row>
    <row r="62" spans="1:256" x14ac:dyDescent="0.2">
      <c r="A62" s="217"/>
      <c r="B62" s="218"/>
      <c r="C62" s="290"/>
      <c r="D62" s="290"/>
      <c r="E62" s="290"/>
      <c r="F62" s="290"/>
      <c r="G62" s="290"/>
      <c r="H62" s="290"/>
      <c r="I62" s="290"/>
      <c r="J62" s="290"/>
      <c r="K62" s="290"/>
      <c r="L62" s="290"/>
      <c r="M62" s="291"/>
    </row>
    <row r="63" spans="1:256" x14ac:dyDescent="0.2">
      <c r="A63" s="217"/>
      <c r="B63" s="218"/>
      <c r="C63" s="290"/>
      <c r="D63" s="290"/>
      <c r="E63" s="290"/>
      <c r="F63" s="290"/>
      <c r="G63" s="290"/>
      <c r="H63" s="290"/>
      <c r="I63" s="290"/>
      <c r="J63" s="290"/>
      <c r="K63" s="290"/>
      <c r="L63" s="290"/>
      <c r="M63" s="291"/>
    </row>
    <row r="64" spans="1:256" x14ac:dyDescent="0.2">
      <c r="A64" s="217"/>
      <c r="B64" s="218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x14ac:dyDescent="0.2">
      <c r="A65" s="217"/>
      <c r="B65" s="218"/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M65" s="291"/>
    </row>
    <row r="66" spans="1:13" x14ac:dyDescent="0.2">
      <c r="A66" s="217"/>
      <c r="B66" s="218"/>
      <c r="C66" s="290"/>
      <c r="D66" s="290"/>
      <c r="E66" s="290"/>
      <c r="F66" s="290"/>
      <c r="G66" s="290"/>
      <c r="H66" s="290"/>
      <c r="I66" s="290"/>
      <c r="J66" s="290"/>
      <c r="K66" s="290"/>
      <c r="L66" s="290"/>
      <c r="M66" s="291"/>
    </row>
    <row r="67" spans="1:13" x14ac:dyDescent="0.2">
      <c r="A67" s="217"/>
      <c r="B67" s="218"/>
      <c r="C67" s="290"/>
      <c r="D67" s="290"/>
      <c r="E67" s="290"/>
      <c r="F67" s="290"/>
      <c r="G67" s="290"/>
      <c r="H67" s="290"/>
      <c r="I67" s="290"/>
      <c r="J67" s="290"/>
      <c r="K67" s="290"/>
      <c r="L67" s="290"/>
      <c r="M67" s="291"/>
    </row>
    <row r="68" spans="1:13" x14ac:dyDescent="0.2">
      <c r="A68" s="217"/>
      <c r="B68" s="218"/>
      <c r="C68" s="290"/>
      <c r="D68" s="290"/>
      <c r="E68" s="290"/>
      <c r="F68" s="290"/>
      <c r="G68" s="290"/>
      <c r="H68" s="290"/>
      <c r="I68" s="290"/>
      <c r="J68" s="290"/>
      <c r="K68" s="290"/>
      <c r="L68" s="290"/>
      <c r="M68" s="291"/>
    </row>
    <row r="69" spans="1:13" x14ac:dyDescent="0.2">
      <c r="A69" s="217"/>
      <c r="B69" s="218"/>
      <c r="C69" s="290"/>
      <c r="D69" s="290"/>
      <c r="E69" s="290"/>
      <c r="F69" s="290"/>
      <c r="G69" s="290"/>
      <c r="H69" s="290"/>
      <c r="I69" s="290"/>
      <c r="J69" s="290"/>
      <c r="K69" s="290"/>
      <c r="L69" s="290"/>
      <c r="M69" s="291"/>
    </row>
    <row r="70" spans="1:13" ht="12" thickBot="1" x14ac:dyDescent="0.25">
      <c r="A70" s="219"/>
      <c r="B70" s="220"/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4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305" t="s">
        <v>848</v>
      </c>
      <c r="B72" s="305"/>
      <c r="C72" s="305"/>
      <c r="D72" s="305"/>
      <c r="E72" s="305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9" t="s">
        <v>768</v>
      </c>
      <c r="B73" s="209" t="s">
        <v>769</v>
      </c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</row>
    <row r="74" spans="1:13" x14ac:dyDescent="0.2">
      <c r="A74" s="210"/>
      <c r="B74" s="210"/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</row>
    <row r="75" spans="1:13" x14ac:dyDescent="0.2">
      <c r="A75" s="210"/>
      <c r="B75" s="210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</row>
    <row r="76" spans="1:13" x14ac:dyDescent="0.2">
      <c r="A76" s="210"/>
      <c r="B76" s="210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</row>
    <row r="77" spans="1:13" x14ac:dyDescent="0.2">
      <c r="A77" s="210"/>
      <c r="B77" s="210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</row>
    <row r="78" spans="1:13" x14ac:dyDescent="0.2">
      <c r="A78" s="210"/>
      <c r="B78" s="210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</row>
    <row r="79" spans="1:13" x14ac:dyDescent="0.2">
      <c r="A79" s="210"/>
      <c r="B79" s="210"/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</row>
    <row r="80" spans="1:13" x14ac:dyDescent="0.2">
      <c r="A80" s="210"/>
      <c r="B80" s="210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</row>
    <row r="81" spans="1:13" x14ac:dyDescent="0.2">
      <c r="A81" s="210"/>
      <c r="B81" s="210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</row>
    <row r="82" spans="1:13" x14ac:dyDescent="0.2">
      <c r="A82" s="210"/>
      <c r="B82" s="210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</row>
    <row r="83" spans="1:13" x14ac:dyDescent="0.2">
      <c r="A83" s="210"/>
      <c r="B83" s="210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</row>
    <row r="84" spans="1:13" x14ac:dyDescent="0.2">
      <c r="A84" s="210"/>
      <c r="B84" s="210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</row>
    <row r="85" spans="1:13" x14ac:dyDescent="0.2">
      <c r="A85" s="210"/>
      <c r="B85" s="210"/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</row>
    <row r="86" spans="1:13" x14ac:dyDescent="0.2">
      <c r="A86" s="210"/>
      <c r="B86" s="210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</row>
    <row r="87" spans="1:13" x14ac:dyDescent="0.2">
      <c r="A87" s="210"/>
      <c r="B87" s="210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</row>
    <row r="88" spans="1:13" x14ac:dyDescent="0.2">
      <c r="A88" s="210"/>
      <c r="B88" s="210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</row>
    <row r="89" spans="1:13" x14ac:dyDescent="0.2">
      <c r="A89" s="210"/>
      <c r="B89" s="210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</row>
    <row r="90" spans="1:13" x14ac:dyDescent="0.2">
      <c r="A90" s="210"/>
      <c r="B90" s="210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</row>
  </sheetData>
  <sheetProtection password="A70A" sheet="1" objects="1" scenarios="1"/>
  <mergeCells count="221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13:M13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2014-09-25T12:02:50Z</cp:lastPrinted>
  <dcterms:created xsi:type="dcterms:W3CDTF">1997-12-04T19:04:30Z</dcterms:created>
  <dcterms:modified xsi:type="dcterms:W3CDTF">2014-12-10T16:05:56Z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