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73" i="1" l="1"/>
  <c r="C38" i="12" l="1"/>
  <c r="B39" i="12"/>
  <c r="B37" i="12"/>
  <c r="B38" i="12"/>
  <c r="C39" i="12"/>
  <c r="C20" i="12" l="1"/>
  <c r="C19" i="12"/>
  <c r="B20" i="12"/>
  <c r="B19" i="12"/>
  <c r="C11" i="12"/>
  <c r="C10" i="12"/>
  <c r="B12" i="12"/>
  <c r="B10" i="12" l="1"/>
  <c r="H584" i="1"/>
  <c r="J526" i="1" l="1"/>
  <c r="I526" i="1"/>
  <c r="H528" i="1"/>
  <c r="H527" i="1"/>
  <c r="H526" i="1"/>
  <c r="G528" i="1"/>
  <c r="G527" i="1"/>
  <c r="G526" i="1"/>
  <c r="F528" i="1"/>
  <c r="F527" i="1"/>
  <c r="F526" i="1"/>
  <c r="J521" i="1"/>
  <c r="H541" i="1" l="1"/>
  <c r="H536" i="1"/>
  <c r="H533" i="1"/>
  <c r="H532" i="1"/>
  <c r="H531" i="1"/>
  <c r="G533" i="1"/>
  <c r="G532" i="1"/>
  <c r="G531" i="1"/>
  <c r="F533" i="1"/>
  <c r="F532" i="1"/>
  <c r="F531" i="1"/>
  <c r="F465" i="1" l="1"/>
  <c r="F472" i="1"/>
  <c r="G14" i="1"/>
  <c r="F22" i="1" l="1"/>
  <c r="F25" i="1"/>
  <c r="F50" i="1" l="1"/>
  <c r="F9" i="1" l="1"/>
  <c r="H22" i="1"/>
  <c r="H604" i="1"/>
  <c r="J604" i="1"/>
  <c r="I604" i="1"/>
  <c r="I276" i="1"/>
  <c r="I281" i="1"/>
  <c r="H282" i="1"/>
  <c r="H319" i="1"/>
  <c r="H281" i="1"/>
  <c r="H300" i="1"/>
  <c r="J277" i="1"/>
  <c r="I277" i="1"/>
  <c r="G282" i="1"/>
  <c r="F282" i="1"/>
  <c r="I282" i="1"/>
  <c r="H314" i="1"/>
  <c r="H295" i="1"/>
  <c r="H276" i="1"/>
  <c r="G276" i="1"/>
  <c r="F276" i="1"/>
  <c r="H472" i="1"/>
  <c r="G358" i="1" l="1"/>
  <c r="G360" i="1"/>
  <c r="H358" i="1"/>
  <c r="I360" i="1"/>
  <c r="I359" i="1"/>
  <c r="I358" i="1"/>
  <c r="H360" i="1"/>
  <c r="H359" i="1"/>
  <c r="G359" i="1"/>
  <c r="F360" i="1"/>
  <c r="F359" i="1"/>
  <c r="F358" i="1"/>
  <c r="G110" i="1"/>
  <c r="K240" i="1" l="1"/>
  <c r="K222" i="1"/>
  <c r="K204" i="1"/>
  <c r="H225" i="1"/>
  <c r="H207" i="1"/>
  <c r="H206" i="1"/>
  <c r="H241" i="1"/>
  <c r="K216" i="1"/>
  <c r="H216" i="1"/>
  <c r="I234" i="1"/>
  <c r="H243" i="1"/>
  <c r="H240" i="1"/>
  <c r="I220" i="1"/>
  <c r="H222" i="1"/>
  <c r="I202" i="1"/>
  <c r="K234" i="1"/>
  <c r="K198" i="1"/>
  <c r="H204" i="1"/>
  <c r="I242" i="1"/>
  <c r="I224" i="1"/>
  <c r="I206" i="1"/>
  <c r="J595" i="1"/>
  <c r="I595" i="1"/>
  <c r="I209" i="1" l="1"/>
  <c r="H244" i="1"/>
  <c r="H226" i="1"/>
  <c r="I207" i="1"/>
  <c r="I243" i="1"/>
  <c r="I225" i="1"/>
  <c r="I205" i="1"/>
  <c r="I241" i="1"/>
  <c r="I223" i="1"/>
  <c r="H223" i="1"/>
  <c r="H205" i="1"/>
  <c r="K205" i="1"/>
  <c r="I203" i="1"/>
  <c r="G203" i="1"/>
  <c r="H202" i="1"/>
  <c r="I238" i="1"/>
  <c r="H238" i="1"/>
  <c r="H220" i="1"/>
  <c r="J236" i="1"/>
  <c r="J218" i="1"/>
  <c r="K218" i="1"/>
  <c r="H235" i="1"/>
  <c r="H198" i="1"/>
  <c r="H234" i="1"/>
  <c r="G216" i="1"/>
  <c r="I197" i="1"/>
  <c r="H233" i="1"/>
  <c r="H215" i="1"/>
  <c r="H197" i="1"/>
  <c r="H159" i="1" l="1"/>
  <c r="H155" i="1"/>
  <c r="H154" i="1"/>
  <c r="F665" i="1"/>
  <c r="F468" i="1"/>
  <c r="H468" i="1"/>
  <c r="G613" i="1"/>
  <c r="G612" i="1"/>
  <c r="F611" i="1"/>
  <c r="H595" i="1"/>
  <c r="H592" i="1"/>
  <c r="H591" i="1"/>
  <c r="H380" i="1"/>
  <c r="H376" i="1"/>
  <c r="J468" i="1"/>
  <c r="H239" i="1"/>
  <c r="G239" i="1"/>
  <c r="F239" i="1"/>
  <c r="H221" i="1"/>
  <c r="G221" i="1"/>
  <c r="F221" i="1"/>
  <c r="H203" i="1"/>
  <c r="F203" i="1"/>
  <c r="H245" i="1"/>
  <c r="H227" i="1"/>
  <c r="J243" i="1"/>
  <c r="J225" i="1"/>
  <c r="J207" i="1"/>
  <c r="H242" i="1"/>
  <c r="H224" i="1"/>
  <c r="I240" i="1"/>
  <c r="G240" i="1"/>
  <c r="F240" i="1"/>
  <c r="G241" i="1"/>
  <c r="I222" i="1"/>
  <c r="G222" i="1"/>
  <c r="F222" i="1"/>
  <c r="I204" i="1"/>
  <c r="G204" i="1"/>
  <c r="F204" i="1"/>
  <c r="J202" i="1"/>
  <c r="G202" i="1"/>
  <c r="F202" i="1"/>
  <c r="H236" i="1" l="1"/>
  <c r="H218" i="1"/>
  <c r="H209" i="1"/>
  <c r="G209" i="1"/>
  <c r="F209" i="1"/>
  <c r="H208" i="1"/>
  <c r="G207" i="1"/>
  <c r="F207" i="1"/>
  <c r="G205" i="1"/>
  <c r="F205" i="1"/>
  <c r="K202" i="1"/>
  <c r="J198" i="1"/>
  <c r="I198" i="1"/>
  <c r="G198" i="1"/>
  <c r="F198" i="1"/>
  <c r="K197" i="1"/>
  <c r="J197" i="1"/>
  <c r="G197" i="1"/>
  <c r="F1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C110" i="2" s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C21" i="10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E110" i="2" s="1"/>
  <c r="L278" i="1"/>
  <c r="L279" i="1"/>
  <c r="C13" i="10" s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2" i="10"/>
  <c r="L250" i="1"/>
  <c r="L332" i="1"/>
  <c r="L254" i="1"/>
  <c r="L268" i="1"/>
  <c r="L269" i="1"/>
  <c r="L349" i="1"/>
  <c r="L350" i="1"/>
  <c r="I665" i="1"/>
  <c r="I670" i="1"/>
  <c r="F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C119" i="2"/>
  <c r="C120" i="2"/>
  <c r="E120" i="2"/>
  <c r="C121" i="2"/>
  <c r="E121" i="2"/>
  <c r="C122" i="2"/>
  <c r="E122" i="2"/>
  <c r="E123" i="2"/>
  <c r="C124" i="2"/>
  <c r="E124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H545" i="1" s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9" i="1"/>
  <c r="G622" i="1"/>
  <c r="G623" i="1"/>
  <c r="G624" i="1"/>
  <c r="H627" i="1"/>
  <c r="H628" i="1"/>
  <c r="H629" i="1"/>
  <c r="H630" i="1"/>
  <c r="H631" i="1"/>
  <c r="H632" i="1"/>
  <c r="H633" i="1"/>
  <c r="G634" i="1"/>
  <c r="H635" i="1"/>
  <c r="H636" i="1"/>
  <c r="J636" i="1" s="1"/>
  <c r="H637" i="1"/>
  <c r="H638" i="1"/>
  <c r="G639" i="1"/>
  <c r="H639" i="1"/>
  <c r="G640" i="1"/>
  <c r="H640" i="1"/>
  <c r="G641" i="1"/>
  <c r="H641" i="1"/>
  <c r="G642" i="1"/>
  <c r="G643" i="1"/>
  <c r="H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18" i="2"/>
  <c r="C26" i="10"/>
  <c r="L328" i="1"/>
  <c r="L351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J639" i="1"/>
  <c r="J571" i="1"/>
  <c r="K571" i="1"/>
  <c r="L433" i="1"/>
  <c r="L419" i="1"/>
  <c r="I169" i="1"/>
  <c r="H169" i="1"/>
  <c r="G552" i="1"/>
  <c r="J643" i="1"/>
  <c r="H476" i="1"/>
  <c r="H624" i="1" s="1"/>
  <c r="I476" i="1"/>
  <c r="H625" i="1" s="1"/>
  <c r="F169" i="1"/>
  <c r="J140" i="1"/>
  <c r="F571" i="1"/>
  <c r="K549" i="1"/>
  <c r="G22" i="2"/>
  <c r="K545" i="1"/>
  <c r="J552" i="1"/>
  <c r="H552" i="1"/>
  <c r="C29" i="10"/>
  <c r="H140" i="1"/>
  <c r="L401" i="1"/>
  <c r="C139" i="2" s="1"/>
  <c r="L393" i="1"/>
  <c r="F22" i="13"/>
  <c r="H25" i="13"/>
  <c r="C25" i="13" s="1"/>
  <c r="J640" i="1"/>
  <c r="H571" i="1"/>
  <c r="L560" i="1"/>
  <c r="J545" i="1"/>
  <c r="H338" i="1"/>
  <c r="H352" i="1" s="1"/>
  <c r="G192" i="1"/>
  <c r="H192" i="1"/>
  <c r="F552" i="1"/>
  <c r="C35" i="10"/>
  <c r="L309" i="1"/>
  <c r="D5" i="13"/>
  <c r="C5" i="13" s="1"/>
  <c r="E16" i="13"/>
  <c r="C16" i="13" s="1"/>
  <c r="J655" i="1"/>
  <c r="L570" i="1"/>
  <c r="I571" i="1"/>
  <c r="G36" i="2"/>
  <c r="L565" i="1"/>
  <c r="G545" i="1"/>
  <c r="K551" i="1"/>
  <c r="C22" i="13"/>
  <c r="C138" i="2"/>
  <c r="F476" i="1" l="1"/>
  <c r="H622" i="1" s="1"/>
  <c r="J622" i="1" s="1"/>
  <c r="A13" i="12"/>
  <c r="K550" i="1"/>
  <c r="K552" i="1" s="1"/>
  <c r="I552" i="1"/>
  <c r="L539" i="1"/>
  <c r="I545" i="1"/>
  <c r="L524" i="1"/>
  <c r="J624" i="1"/>
  <c r="E115" i="2"/>
  <c r="G338" i="1"/>
  <c r="G352" i="1" s="1"/>
  <c r="F338" i="1"/>
  <c r="F352" i="1" s="1"/>
  <c r="E119" i="2"/>
  <c r="E128" i="2" s="1"/>
  <c r="J634" i="1"/>
  <c r="G476" i="1"/>
  <c r="H623" i="1" s="1"/>
  <c r="J623" i="1" s="1"/>
  <c r="F661" i="1"/>
  <c r="H661" i="1"/>
  <c r="G661" i="1"/>
  <c r="L362" i="1"/>
  <c r="G635" i="1" s="1"/>
  <c r="J635" i="1" s="1"/>
  <c r="D145" i="2"/>
  <c r="J617" i="1"/>
  <c r="J651" i="1"/>
  <c r="G662" i="1"/>
  <c r="I662" i="1" s="1"/>
  <c r="C15" i="10"/>
  <c r="G625" i="1"/>
  <c r="J625" i="1"/>
  <c r="K598" i="1"/>
  <c r="G647" i="1" s="1"/>
  <c r="J647" i="1" s="1"/>
  <c r="J649" i="1"/>
  <c r="K500" i="1"/>
  <c r="J644" i="1"/>
  <c r="J645" i="1"/>
  <c r="J476" i="1"/>
  <c r="H626" i="1" s="1"/>
  <c r="C19" i="10"/>
  <c r="J257" i="1"/>
  <c r="J271" i="1" s="1"/>
  <c r="H257" i="1"/>
  <c r="H271" i="1" s="1"/>
  <c r="H33" i="13"/>
  <c r="C17" i="10"/>
  <c r="C125" i="2"/>
  <c r="C18" i="10"/>
  <c r="C112" i="2"/>
  <c r="L247" i="1"/>
  <c r="H660" i="1" s="1"/>
  <c r="F257" i="1"/>
  <c r="F271" i="1" s="1"/>
  <c r="C20" i="10"/>
  <c r="C16" i="10"/>
  <c r="L229" i="1"/>
  <c r="G660" i="1" s="1"/>
  <c r="C11" i="10"/>
  <c r="K257" i="1"/>
  <c r="K271" i="1" s="1"/>
  <c r="I257" i="1"/>
  <c r="I271" i="1" s="1"/>
  <c r="G257" i="1"/>
  <c r="G271" i="1" s="1"/>
  <c r="C115" i="2"/>
  <c r="C123" i="2"/>
  <c r="E33" i="13"/>
  <c r="D35" i="13" s="1"/>
  <c r="L211" i="1"/>
  <c r="C81" i="2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J652" i="1"/>
  <c r="J642" i="1"/>
  <c r="G571" i="1"/>
  <c r="I434" i="1"/>
  <c r="G434" i="1"/>
  <c r="E104" i="2"/>
  <c r="I663" i="1"/>
  <c r="L545" i="1" l="1"/>
  <c r="E145" i="2"/>
  <c r="D31" i="13"/>
  <c r="C31" i="13" s="1"/>
  <c r="G664" i="1"/>
  <c r="G672" i="1" s="1"/>
  <c r="C5" i="10" s="1"/>
  <c r="H664" i="1"/>
  <c r="H667" i="1" s="1"/>
  <c r="I661" i="1"/>
  <c r="C27" i="10"/>
  <c r="C28" i="10" s="1"/>
  <c r="D22" i="10" s="1"/>
  <c r="C128" i="2"/>
  <c r="C145" i="2" s="1"/>
  <c r="H648" i="1"/>
  <c r="J648" i="1" s="1"/>
  <c r="F51" i="2"/>
  <c r="G104" i="2"/>
  <c r="H646" i="1"/>
  <c r="J646" i="1" s="1"/>
  <c r="L257" i="1"/>
  <c r="L271" i="1" s="1"/>
  <c r="G632" i="1" s="1"/>
  <c r="J632" i="1" s="1"/>
  <c r="F660" i="1"/>
  <c r="F664" i="1" s="1"/>
  <c r="F672" i="1" s="1"/>
  <c r="C4" i="10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G667" i="1"/>
  <c r="H672" i="1"/>
  <c r="C6" i="10" s="1"/>
  <c r="D25" i="10"/>
  <c r="D27" i="10"/>
  <c r="D10" i="10"/>
  <c r="D26" i="10"/>
  <c r="D24" i="10"/>
  <c r="D15" i="10"/>
  <c r="D12" i="10"/>
  <c r="D20" i="10"/>
  <c r="D17" i="10"/>
  <c r="D16" i="10"/>
  <c r="D18" i="10"/>
  <c r="C30" i="10"/>
  <c r="D19" i="10"/>
  <c r="D23" i="10"/>
  <c r="D13" i="10"/>
  <c r="D11" i="10"/>
  <c r="D21" i="10"/>
  <c r="F667" i="1"/>
  <c r="I660" i="1"/>
  <c r="I664" i="1" s="1"/>
  <c r="I672" i="1" s="1"/>
  <c r="C7" i="10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<sst xmlns="http://schemas.openxmlformats.org/spreadsheetml/2006/main" count="3977" uniqueCount="921">
  <si>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</si>
  <si>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</si>
  <si>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</si>
  <si>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</si>
  <si>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</si>
  <si>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</si>
  <si>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</si>
  <si>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</si>
  <si>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</si>
  <si>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</si>
  <si>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</si>
  <si>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</si>
  <si>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</si>
  <si>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</si>
  <si>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</si>
  <si>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</si>
  <si>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</si>
  <si>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</si>
  <si>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</si>
  <si>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</si>
  <si>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</si>
  <si>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</si>
  <si>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</si>
  <si>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</si>
  <si>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</si>
  <si>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</si>
  <si>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</si>
  <si>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</si>
  <si>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</si>
  <si>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</si>
  <si>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</si>
  <si>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</si>
  <si>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</si>
  <si>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</si>
  <si>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</si>
  <si>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</si>
  <si>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</si>
  <si>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</si>
  <si>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</si>
  <si>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</si>
  <si>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</si>
  <si>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</si>
  <si>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</si>
  <si>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</si>
  <si>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</si>
  <si>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</si>
  <si>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</si>
  <si>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</si>
  <si>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</si>
  <si>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</si>
  <si>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</si>
  <si>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</si>
  <si>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</si>
  <si>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</si>
  <si>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</si>
  <si>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</si>
  <si>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</si>
  <si>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</si>
  <si>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</si>
  <si>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</si>
  <si>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</si>
  <si>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</si>
  <si>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</si>
  <si>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</si>
  <si>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</si>
  <si>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</si>
  <si>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</si>
  <si>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</si>
  <si>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</si>
  <si>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</si>
  <si>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</si>
  <si>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</si>
  <si>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</si>
  <si>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</si>
  <si>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</si>
  <si>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</si>
  <si>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</si>
  <si>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</si>
  <si>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</si>
  <si>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</si>
  <si>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</si>
  <si>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</si>
  <si>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</si>
  <si>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</si>
  <si>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</si>
  <si>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</si>
  <si>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</si>
  <si>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</si>
  <si>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</si>
  <si>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</si>
  <si>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</si>
  <si>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</si>
  <si>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</si>
  <si>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</si>
  <si>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</si>
  <si>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</si>
  <si>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</si>
  <si>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</si>
  <si>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</si>
  <si>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</si>
  <si>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</si>
  <si>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</si>
  <si>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</si>
  <si>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</si>
  <si>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</si>
  <si>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</si>
  <si>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</si>
  <si>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</si>
  <si>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</si>
  <si>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</si>
  <si>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</si>
  <si>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</si>
  <si>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</si>
  <si>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</si>
  <si>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</si>
  <si>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</si>
  <si>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</si>
  <si>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</si>
  <si>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</si>
  <si>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</si>
  <si>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</si>
  <si>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</si>
  <si>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</si>
  <si>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</si>
  <si>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</si>
  <si>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</si>
  <si>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</si>
  <si>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</si>
  <si>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</si>
  <si>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</si>
  <si>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</si>
  <si>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</si>
  <si>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</si>
  <si>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</si>
  <si>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</si>
  <si>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</si>
  <si>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</si>
  <si>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</si>
  <si>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</si>
  <si>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</si>
  <si>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</si>
  <si>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</si>
  <si>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</si>
  <si>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</si>
  <si>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</si>
  <si>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</si>
  <si>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</si>
  <si>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</si>
  <si>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</si>
  <si>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</si>
  <si>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</si>
  <si>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</si>
  <si>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</si>
  <si>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</si>
  <si>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</si>
  <si>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</si>
  <si>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</si>
  <si>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</si>
  <si>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</si>
  <si>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</si>
  <si>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</si>
  <si>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</si>
  <si>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</si>
  <si>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</si>
  <si>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</si>
  <si>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</si>
  <si>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</si>
  <si>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</si>
  <si>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</si>
  <si>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</si>
  <si>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</si>
  <si>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</si>
  <si>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</si>
  <si>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</si>
  <si>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</si>
  <si>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</si>
  <si>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</si>
  <si>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</si>
  <si>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</si>
  <si>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</si>
  <si>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</si>
  <si>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</si>
  <si>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</si>
  <si>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</si>
  <si>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</si>
  <si>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</si>
  <si>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</si>
  <si>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</si>
  <si>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</si>
  <si>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</si>
  <si>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</si>
  <si>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</si>
  <si>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</si>
  <si>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</si>
  <si>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</si>
  <si>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</si>
  <si>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</si>
  <si>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</si>
  <si>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</si>
  <si>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</si>
  <si>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</si>
  <si>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</si>
  <si>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</si>
  <si>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</si>
  <si>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</si>
  <si>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</si>
  <si>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</si>
  <si>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</si>
  <si>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</si>
  <si>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</si>
  <si>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</si>
  <si>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</si>
  <si>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</si>
  <si>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</si>
  <si>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</si>
  <si>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</si>
  <si>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</si>
  <si>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</si>
  <si>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</si>
  <si>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</si>
  <si>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</si>
  <si>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</si>
  <si>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</si>
  <si>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</si>
  <si>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</si>
  <si>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</si>
  <si>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</si>
  <si>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</si>
  <si>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</si>
  <si>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</si>
  <si>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</si>
  <si>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</si>
  <si>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</si>
  <si>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</si>
  <si>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</si>
  <si>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</si>
  <si>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</si>
  <si>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</si>
  <si>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</si>
  <si>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</si>
  <si>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</si>
  <si>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</si>
  <si>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</si>
  <si>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</si>
  <si>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</si>
  <si>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</si>
  <si>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</si>
  <si>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</si>
  <si>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</si>
  <si>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</si>
  <si>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</si>
  <si>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</si>
  <si>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</si>
  <si>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</si>
  <si>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</si>
  <si>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</si>
  <si>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</si>
  <si>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</si>
  <si>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</si>
  <si>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</si>
  <si>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</si>
  <si>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</si>
  <si>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</si>
  <si>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</si>
  <si>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</si>
  <si>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</si>
  <si>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</si>
  <si>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</si>
  <si>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</si>
  <si>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</si>
  <si>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</si>
  <si>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</si>
  <si>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</si>
  <si>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</si>
  <si>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</si>
  <si>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</si>
  <si>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</si>
  <si>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</si>
  <si>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</si>
  <si>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</si>
  <si>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</si>
  <si>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</si>
  <si>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</si>
  <si>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</si>
  <si>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</si>
  <si>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</si>
  <si>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</si>
  <si>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</si>
  <si>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</si>
  <si>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</si>
  <si>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</si>
  <si>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</si>
  <si>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</si>
  <si>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</si>
  <si>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</si>
  <si>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</si>
  <si>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</si>
  <si>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</si>
  <si>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</si>
  <si>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</si>
  <si>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</si>
  <si>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</si>
  <si>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</si>
  <si>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</si>
  <si>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</si>
  <si>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</si>
  <si>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</si>
  <si>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</si>
  <si>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</si>
  <si>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</si>
  <si>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</si>
  <si>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</si>
  <si>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</si>
  <si>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</si>
  <si>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</si>
  <si>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</si>
  <si>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</si>
  <si>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</si>
  <si>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</si>
  <si>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</si>
  <si>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</si>
  <si>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</si>
  <si>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</si>
  <si>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</si>
  <si>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</si>
  <si>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</si>
  <si>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</si>
  <si>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</si>
  <si>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</si>
  <si>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</si>
  <si>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</si>
  <si>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</si>
  <si>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</si>
  <si>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</si>
  <si>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</si>
  <si>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</si>
  <si>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</si>
  <si>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</si>
  <si>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</si>
  <si>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</si>
  <si>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</si>
  <si>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</si>
  <si>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</si>
  <si>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</si>
  <si>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</si>
  <si>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</si>
  <si>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</si>
  <si>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</si>
  <si>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</si>
  <si>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</si>
  <si>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</si>
  <si>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</si>
  <si>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</si>
  <si>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</si>
  <si>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</si>
  <si>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</si>
  <si>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</si>
  <si>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</si>
  <si>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</si>
  <si>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</si>
  <si>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</si>
  <si>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</si>
  <si>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</si>
  <si>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</si>
  <si>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</si>
  <si>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</si>
  <si>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</si>
  <si>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</si>
  <si>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</si>
  <si>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</si>
  <si>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</si>
  <si>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</si>
  <si>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</si>
  <si>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</si>
  <si>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</si>
  <si>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</si>
  <si>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</si>
  <si>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</si>
  <si>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</si>
  <si>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</si>
  <si>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</si>
  <si>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</si>
  <si>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</si>
  <si>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</si>
  <si>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</si>
  <si>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</si>
  <si>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</si>
  <si>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</si>
  <si>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</si>
  <si>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</si>
  <si>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</si>
  <si>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</si>
  <si>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</si>
  <si>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</si>
  <si>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</si>
  <si>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</si>
  <si>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</si>
  <si>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</si>
  <si>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</si>
  <si>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</si>
  <si>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</si>
  <si>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</si>
  <si>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</si>
  <si>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</si>
  <si>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</si>
  <si>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</si>
  <si>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</si>
  <si>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</si>
  <si>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</si>
  <si>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</si>
  <si>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</si>
  <si>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</si>
  <si>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</si>
  <si>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</si>
  <si>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</si>
  <si>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</si>
  <si>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</si>
  <si>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</si>
  <si>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</si>
  <si>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</si>
  <si>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</si>
  <si>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</si>
  <si>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</si>
  <si>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</si>
  <si>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</si>
  <si>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</si>
  <si>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</si>
  <si>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</si>
  <si>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</si>
  <si>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</si>
  <si>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</si>
  <si>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</si>
  <si>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</si>
  <si>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</si>
  <si>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</si>
  <si>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</si>
  <si>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</si>
  <si>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</si>
  <si>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</si>
  <si>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</si>
  <si>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</si>
  <si>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</si>
  <si>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</si>
  <si>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</si>
  <si>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</si>
  <si>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</si>
  <si>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</si>
  <si>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</si>
  <si>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</si>
  <si>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</si>
  <si>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</si>
  <si>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</si>
  <si>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</si>
  <si>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</si>
  <si>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</si>
  <si>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</si>
  <si>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</si>
  <si>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</si>
  <si>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</si>
  <si>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</si>
  <si>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</si>
  <si>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</si>
  <si>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</si>
  <si>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</si>
  <si>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</si>
  <si>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</si>
  <si>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</si>
  <si>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</si>
  <si>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</si>
  <si>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</si>
  <si>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</si>
  <si>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</si>
  <si>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</si>
  <si>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</si>
  <si>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</si>
  <si>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</si>
  <si>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</si>
  <si>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</si>
  <si>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</si>
  <si>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</si>
  <si>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</si>
  <si>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</si>
  <si>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</si>
  <si>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</si>
  <si>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</si>
  <si>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</si>
  <si>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</si>
  <si>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</si>
  <si>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</si>
  <si>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</si>
  <si>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</si>
  <si>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</si>
  <si>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</si>
  <si>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</si>
  <si>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</si>
  <si>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</si>
  <si>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</si>
  <si>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</si>
  <si>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</si>
  <si>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</si>
  <si>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</si>
  <si>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</si>
  <si>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</si>
  <si>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</si>
  <si>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</si>
  <si>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</si>
  <si>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</si>
  <si>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</si>
  <si>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</si>
  <si>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</si>
  <si>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</si>
  <si>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</si>
  <si>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</si>
  <si>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</si>
  <si>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</si>
  <si>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</si>
  <si>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</si>
  <si>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</si>
  <si>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</si>
  <si>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</si>
  <si>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</si>
  <si>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</si>
  <si>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</si>
  <si>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</si>
  <si>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</si>
  <si>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</si>
  <si>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</si>
  <si>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</si>
  <si>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</si>
  <si>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</si>
  <si>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</si>
  <si>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</si>
  <si>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</si>
  <si>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</si>
  <si>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</si>
  <si>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</si>
  <si>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</si>
  <si>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</si>
  <si>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</si>
  <si>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</si>
  <si>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</si>
  <si>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</si>
  <si>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</si>
  <si>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</si>
  <si>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</si>
  <si>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</si>
  <si>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</si>
  <si>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</si>
  <si>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</si>
  <si>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</si>
  <si>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</si>
  <si>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</si>
  <si>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</si>
  <si>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</si>
  <si>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</si>
  <si>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</si>
  <si>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</si>
  <si>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</si>
  <si>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</si>
  <si>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</si>
  <si>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</si>
  <si>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</si>
  <si>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</si>
  <si>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</si>
  <si>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</si>
  <si>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</si>
  <si>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</si>
  <si>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</si>
  <si>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</si>
  <si>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</si>
  <si>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</si>
  <si>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</si>
  <si>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</si>
  <si>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</si>
  <si>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</si>
  <si>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</si>
  <si>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</si>
  <si>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</si>
  <si>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</si>
  <si>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</si>
  <si>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</si>
  <si>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</si>
  <si>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</si>
  <si>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</si>
  <si>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</si>
  <si>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</si>
  <si>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</si>
  <si>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</si>
  <si>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</si>
  <si>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</si>
  <si>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</si>
  <si>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</si>
  <si>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</si>
  <si>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</si>
  <si>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</si>
  <si>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</si>
  <si>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</si>
  <si>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</si>
  <si>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</si>
  <si>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</si>
  <si>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</si>
  <si>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</si>
  <si>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</si>
  <si>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</si>
  <si>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</si>
  <si>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</si>
  <si>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</si>
  <si>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</si>
  <si>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</si>
  <si>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</si>
  <si>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</si>
  <si>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</si>
  <si>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</si>
  <si>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</si>
  <si>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</si>
  <si>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</si>
  <si>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</si>
  <si>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</si>
  <si>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</si>
  <si>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</si>
  <si>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</si>
  <si>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</si>
  <si>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</si>
  <si>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</si>
  <si>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</si>
  <si>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</si>
  <si>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</si>
  <si>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</si>
  <si>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</si>
  <si>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</si>
  <si>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</si>
  <si>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</si>
  <si>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</si>
  <si>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</si>
  <si>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</si>
  <si>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</si>
  <si>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</si>
  <si>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</si>
  <si>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</si>
  <si>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</si>
  <si>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</si>
  <si>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</si>
  <si>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</si>
  <si>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</si>
  <si>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</si>
  <si>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</si>
  <si>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</si>
  <si>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</si>
  <si>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</si>
  <si>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</si>
  <si>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</si>
  <si>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</si>
  <si>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</si>
  <si>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</si>
  <si>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</si>
  <si>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</si>
  <si>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</si>
  <si>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</si>
  <si>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</si>
  <si>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</si>
  <si>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</si>
  <si>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</si>
  <si>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</si>
  <si>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</si>
  <si>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</si>
  <si>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</si>
  <si>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</si>
  <si>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</si>
  <si>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</si>
  <si>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</si>
  <si>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</si>
  <si>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</si>
  <si>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</si>
  <si>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</si>
  <si>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</si>
  <si>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</si>
  <si>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</si>
  <si>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</si>
  <si>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</si>
  <si>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</si>
  <si>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</si>
  <si>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</si>
  <si>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</si>
  <si>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</si>
  <si>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</si>
  <si>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</si>
  <si>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</si>
  <si>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</si>
  <si>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</si>
  <si>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</si>
  <si>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</si>
  <si>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</si>
  <si>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</si>
  <si>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</si>
  <si>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</si>
  <si>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</si>
  <si>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</si>
  <si>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</si>
  <si>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</si>
  <si>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</si>
  <si>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</si>
  <si>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</si>
  <si>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</si>
  <si>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</si>
  <si>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</si>
  <si>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</si>
  <si>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</si>
  <si>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</si>
  <si>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</si>
  <si>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</si>
  <si>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</si>
  <si>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</si>
  <si>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</si>
  <si>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</si>
  <si>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</si>
  <si>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</si>
  <si>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</si>
  <si>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</si>
  <si>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</si>
  <si>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</si>
  <si>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</si>
  <si>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</si>
  <si>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</si>
  <si>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</si>
  <si>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</si>
  <si>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</si>
  <si>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</si>
  <si>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</si>
  <si>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</si>
  <si>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</si>
  <si>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</si>
  <si>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</si>
  <si>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</si>
  <si>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</si>
  <si>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</si>
  <si>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</si>
  <si>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</si>
  <si>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</si>
  <si>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</si>
  <si>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</si>
  <si>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</si>
  <si>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</si>
  <si>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</si>
  <si>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</si>
  <si>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</si>
  <si>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</si>
  <si>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</si>
  <si>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</si>
  <si>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</si>
  <si>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</si>
  <si>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</si>
  <si>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</si>
  <si>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</si>
  <si>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</si>
  <si>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</si>
  <si>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</si>
  <si>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</si>
  <si>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</si>
  <si>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</si>
  <si>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</si>
  <si>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</si>
  <si>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</si>
  <si>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</si>
  <si>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</si>
  <si>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</si>
  <si>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</si>
  <si>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</si>
  <si>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</si>
  <si>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</si>
  <si>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</si>
  <si>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</si>
  <si>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</si>
  <si>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</si>
  <si>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</si>
  <si>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</si>
  <si>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</si>
  <si>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</si>
  <si>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</si>
  <si>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</si>
  <si>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</si>
  <si>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</si>
  <si>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</si>
  <si>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</si>
  <si>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</si>
  <si>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</si>
  <si>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</si>
  <si>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</si>
  <si>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</si>
  <si>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</si>
  <si>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</si>
  <si>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</si>
  <si>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</si>
  <si>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</si>
  <si>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</si>
  <si>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</si>
  <si>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</si>
  <si>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</si>
  <si>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</si>
  <si>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</si>
  <si>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</si>
  <si>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</si>
  <si>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</si>
  <si>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</si>
  <si>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</si>
  <si>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</si>
  <si>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</si>
  <si>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</si>
  <si>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</si>
  <si>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</si>
  <si>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</si>
  <si>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</si>
  <si>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</si>
  <si>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</si>
  <si>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</si>
  <si>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</si>
  <si>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</si>
  <si>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</si>
  <si>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</si>
  <si>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</si>
  <si>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</si>
  <si>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</si>
  <si>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</si>
  <si>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</si>
  <si>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</si>
  <si>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</si>
  <si>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</si>
  <si>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</si>
  <si>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</si>
  <si>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</si>
  <si>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</si>
  <si>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</si>
  <si>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</si>
  <si>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</si>
  <si>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</si>
  <si>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</si>
  <si>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</si>
  <si>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</si>
  <si>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</si>
  <si>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</si>
  <si>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</si>
  <si>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</si>
  <si>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</si>
  <si>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</si>
  <si>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</si>
  <si>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</si>
  <si>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</si>
  <si>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</si>
  <si>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</si>
  <si>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</si>
  <si>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</si>
  <si>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</si>
  <si>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</si>
  <si>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</si>
  <si>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</si>
  <si>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</si>
  <si>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</si>
  <si>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</si>
  <si>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</si>
  <si>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</si>
  <si>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</si>
  <si>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</si>
  <si>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</si>
  <si>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</si>
  <si>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</si>
  <si>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</si>
  <si>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</si>
  <si>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</si>
  <si>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</si>
  <si>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</si>
  <si>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</si>
  <si>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</si>
  <si>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</si>
  <si>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</si>
  <si>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</si>
  <si>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</si>
  <si>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</si>
  <si>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</si>
  <si>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</si>
  <si>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</si>
  <si>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</si>
  <si>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</si>
  <si>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</si>
  <si>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</si>
  <si>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</si>
  <si>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</si>
  <si>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</si>
  <si>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</si>
  <si>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</si>
  <si>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</si>
  <si>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</si>
  <si>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</si>
  <si>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</si>
  <si>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</si>
  <si>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</si>
  <si>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</si>
  <si>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</si>
  <si>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</si>
  <si>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</si>
  <si>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</si>
  <si>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</si>
  <si>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</si>
  <si>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</si>
  <si>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</si>
  <si>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</si>
  <si>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</si>
  <si>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</si>
  <si>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</si>
  <si>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</si>
  <si>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</si>
  <si>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</si>
  <si>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</si>
  <si>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07/99</t>
  </si>
  <si>
    <t>08/19</t>
  </si>
  <si>
    <t>Reserves for Donation balance remaining</t>
  </si>
  <si>
    <t>Food Service fund equity improved by commodities not recorded until Audit--"true" deficit shown FY13 &amp; FY14</t>
  </si>
  <si>
    <t>Food Svc. Misc Revenue adj. to tie to cash</t>
  </si>
  <si>
    <t>Grant expense equal revenue adjust Fund 10</t>
  </si>
  <si>
    <t>Wilton-Lyndeborough Cooperative</t>
  </si>
  <si>
    <t>Fund 70 Revenue $33,083 recorded expense not reported</t>
  </si>
  <si>
    <t>equity $50,284 and p/y fund equity $55K CRF</t>
  </si>
  <si>
    <t>audit adjs. Equity -$3K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</si>
</sst>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917</v>
      </c>
      <c r="B2" s="21">
        <v>572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55441.63+439875.13</f>
        <v>495316.76</v>
      </c>
      <c r="G9" s="18">
        <v>18422.95</v>
      </c>
      <c r="H9" s="18"/>
      <c r="I9" s="18">
        <v>0</v>
      </c>
      <c r="J9" s="67">
        <f>SUM(I439)</f>
        <v>485506.15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80734.67</v>
      </c>
      <c r="G12" s="18"/>
      <c r="H12" s="18"/>
      <c r="I12" s="18" t="s">
        <v>287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15090.76</v>
      </c>
      <c r="G13" s="18"/>
      <c r="H13" s="18">
        <v>50284.75</v>
      </c>
      <c r="I13" s="18" t="s">
        <v>287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15724.31</v>
      </c>
      <c r="G14" s="18">
        <f>23.5+3675.41</f>
        <v>3698.91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 t="s">
        <v>287</v>
      </c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606866.50000000012</v>
      </c>
      <c r="G19" s="41">
        <f>SUM(G9:G18)</f>
        <v>22121.86</v>
      </c>
      <c r="H19" s="41">
        <f>SUM(H9:H18)</f>
        <v>50284.75</v>
      </c>
      <c r="I19" s="41">
        <f>SUM(I9:I18)</f>
        <v>0</v>
      </c>
      <c r="J19" s="41">
        <f>SUM(J9:J18)</f>
        <v>485506.15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49842.75</f>
        <v>49842.75</v>
      </c>
      <c r="G22" s="18">
        <v>39321.22</v>
      </c>
      <c r="H22" s="18">
        <f>50284.75-449.36</f>
        <v>49835.39</v>
      </c>
      <c r="I22" s="18">
        <v>64402.33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 t="s">
        <v>287</v>
      </c>
      <c r="G23" s="18"/>
      <c r="H23" s="18"/>
      <c r="I23" s="18" t="s">
        <v>287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11423.26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f>1354.7+3508.09</f>
        <v>4862.79</v>
      </c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18029.75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 t="s">
        <v>287</v>
      </c>
      <c r="G31" s="18">
        <v>-1217.73</v>
      </c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84158.55</v>
      </c>
      <c r="G32" s="41">
        <f>SUM(G22:G31)</f>
        <v>38103.49</v>
      </c>
      <c r="H32" s="41">
        <f>SUM(H22:H31)</f>
        <v>49835.39</v>
      </c>
      <c r="I32" s="41">
        <f>SUM(I22:I31)</f>
        <v>64402.33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>
        <v>999.39</v>
      </c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-16981.02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 t="s">
        <v>287</v>
      </c>
      <c r="G43" s="18"/>
      <c r="H43" s="18"/>
      <c r="I43" s="18"/>
      <c r="J43" s="13">
        <f>SUM(I456)</f>
        <v>485506.15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320.95</v>
      </c>
      <c r="G48" s="18" t="s">
        <v>287</v>
      </c>
      <c r="H48" s="18">
        <v>449.36</v>
      </c>
      <c r="I48" s="18">
        <v>-64402.33</v>
      </c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89473</v>
      </c>
      <c r="G49" s="18" t="s">
        <v>287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432914</f>
        <v>432914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522707.95</v>
      </c>
      <c r="G51" s="41">
        <f>SUM(G35:G50)</f>
        <v>-15981.630000000001</v>
      </c>
      <c r="H51" s="41">
        <f>SUM(H35:H50)</f>
        <v>449.36</v>
      </c>
      <c r="I51" s="41">
        <f>SUM(I35:I50)</f>
        <v>-64402.33</v>
      </c>
      <c r="J51" s="41">
        <f>SUM(J35:J50)</f>
        <v>485506.15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606866.5</v>
      </c>
      <c r="G52" s="41">
        <f>G51+G32</f>
        <v>22121.859999999997</v>
      </c>
      <c r="H52" s="41">
        <f>H51+H32</f>
        <v>50284.75</v>
      </c>
      <c r="I52" s="41">
        <f>I51+I32</f>
        <v>0</v>
      </c>
      <c r="J52" s="41">
        <f>J51+J32</f>
        <v>485506.15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7933015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7933015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7800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7800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4341.51</v>
      </c>
      <c r="G96" s="18"/>
      <c r="H96" s="18"/>
      <c r="I96" s="18"/>
      <c r="J96" s="18">
        <v>578.85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98955.49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670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429.08</v>
      </c>
      <c r="G102" s="18">
        <v>1850</v>
      </c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11505.74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5438.78</v>
      </c>
      <c r="G110" s="18">
        <f>17.1+2120.87+23.5</f>
        <v>2161.4699999999998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22385.11</v>
      </c>
      <c r="G111" s="41">
        <f>SUM(G96:G110)</f>
        <v>102966.96</v>
      </c>
      <c r="H111" s="41">
        <f>SUM(H96:H110)</f>
        <v>0</v>
      </c>
      <c r="I111" s="41">
        <f>SUM(I96:I110)</f>
        <v>0</v>
      </c>
      <c r="J111" s="41">
        <f>SUM(J96:J110)</f>
        <v>578.85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7963200.1100000003</v>
      </c>
      <c r="G112" s="41">
        <f>G60+G111</f>
        <v>102966.96</v>
      </c>
      <c r="H112" s="41">
        <f>H60+H79+H94+H111</f>
        <v>0</v>
      </c>
      <c r="I112" s="41">
        <f>I60+I111</f>
        <v>0</v>
      </c>
      <c r="J112" s="41">
        <f>J60+J111</f>
        <v>578.85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1520741.48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1286544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2807285.48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130000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156208.37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1428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3274.11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287636.37</v>
      </c>
      <c r="G136" s="41">
        <f>SUM(G123:G135)</f>
        <v>3274.11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3094921.85</v>
      </c>
      <c r="G140" s="41">
        <f>G121+SUM(G136:G137)</f>
        <v>3274.11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6777.35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6390.02+72906.14+29434.61</f>
        <v>108730.77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8794.13+36691.66+3083.15+5527</f>
        <v>54095.94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100018.35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2408.54+126890.91+11049.39+2059.51+195.87+994.73</f>
        <v>143598.95000000001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121351.17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121351.17</v>
      </c>
      <c r="G162" s="41">
        <f>SUM(G150:G161)</f>
        <v>100018.35</v>
      </c>
      <c r="H162" s="41">
        <f>SUM(H150:H161)</f>
        <v>313203.01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121351.17</v>
      </c>
      <c r="G169" s="41">
        <f>G147+G162+SUM(G163:G168)</f>
        <v>100018.35</v>
      </c>
      <c r="H169" s="41">
        <f>H147+H162+SUM(H163:H168)</f>
        <v>313203.01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240000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240000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33084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33084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33084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240000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11212557.130000001</v>
      </c>
      <c r="G193" s="47">
        <f>G112+G140+G169+G192</f>
        <v>206259.42</v>
      </c>
      <c r="H193" s="47">
        <f>H112+H140+H169+H192</f>
        <v>313203.01</v>
      </c>
      <c r="I193" s="47">
        <f>I112+I140+I169+I192</f>
        <v>0</v>
      </c>
      <c r="J193" s="47">
        <f>J112+J140+J192</f>
        <v>240578.85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854688.68+358898.98</f>
        <v>1213587.6600000001</v>
      </c>
      <c r="G197" s="18">
        <f>426246.27+137973.13</f>
        <v>564219.4</v>
      </c>
      <c r="H197" s="18">
        <f>5475.51+289.49+71.01+137.15</f>
        <v>5973.16</v>
      </c>
      <c r="I197" s="18">
        <f>22192.47+18415.94+269.48+43.48</f>
        <v>40921.37000000001</v>
      </c>
      <c r="J197" s="18">
        <f>13097.81+2595.97</f>
        <v>15693.779999999999</v>
      </c>
      <c r="K197" s="18">
        <f>384.5+39.4</f>
        <v>423.9</v>
      </c>
      <c r="L197" s="19">
        <f>SUM(F197:K197)</f>
        <v>1840819.27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309490.44+130420.75</f>
        <v>439911.19</v>
      </c>
      <c r="G198" s="18">
        <f>111658.48+49723.01</f>
        <v>161381.49</v>
      </c>
      <c r="H198" s="18">
        <f>3263+52.62+135+1410</f>
        <v>4860.62</v>
      </c>
      <c r="I198" s="18">
        <f>3468.08+1129.29</f>
        <v>4597.37</v>
      </c>
      <c r="J198" s="18">
        <f>824.11+328.98</f>
        <v>1153.0900000000001</v>
      </c>
      <c r="K198" s="18">
        <f>4037.37+1297.52</f>
        <v>5334.8899999999994</v>
      </c>
      <c r="L198" s="19">
        <f>SUM(F198:K198)</f>
        <v>617238.64999999991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69299.69+64487+165729.22</f>
        <v>299515.91000000003</v>
      </c>
      <c r="G202" s="18">
        <f>35849.01+11155.76+68801.1</f>
        <v>115805.87000000001</v>
      </c>
      <c r="H202" s="18">
        <f>187001.89+42383.61+305+305+2289+300+2305+4314.2</f>
        <v>239203.7</v>
      </c>
      <c r="I202" s="18">
        <f>2329.53+1281.67+908.46+137.79</f>
        <v>4657.45</v>
      </c>
      <c r="J202" s="18">
        <f>556.69+294.05</f>
        <v>850.74</v>
      </c>
      <c r="K202" s="18">
        <f>135+300</f>
        <v>435</v>
      </c>
      <c r="L202" s="19">
        <f t="shared" ref="L202:L208" si="0">SUM(F202:K202)</f>
        <v>660468.66999999993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7775.34+7199.85+32515.47</f>
        <v>47490.66</v>
      </c>
      <c r="G203" s="18">
        <f>20597.86+3951.53+14912.36+90</f>
        <v>39551.75</v>
      </c>
      <c r="H203" s="18">
        <f>75+482.8</f>
        <v>557.79999999999995</v>
      </c>
      <c r="I203" s="18">
        <f>1684.02+2092.91+280.83</f>
        <v>4057.7599999999998</v>
      </c>
      <c r="J203" s="18"/>
      <c r="K203" s="18"/>
      <c r="L203" s="19">
        <f t="shared" si="0"/>
        <v>91657.97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1050+1200+68786.06+57613.69</f>
        <v>128649.75</v>
      </c>
      <c r="G204" s="18">
        <f>80.34+80.33+22600.92+31292.42</f>
        <v>54054.009999999995</v>
      </c>
      <c r="H204" s="18">
        <f>873.41+583.72+1866.65+1891.75+828.56+1167.12+5506.64+426.14+1340.49+3736.07+67.5+61.5+273.13+89.63</f>
        <v>18712.310000000001</v>
      </c>
      <c r="I204" s="18">
        <f>99.6+126.59+1203.29+378.54</f>
        <v>1808.02</v>
      </c>
      <c r="J204" s="18"/>
      <c r="K204" s="18">
        <f>1219.77+952.78+1351.31+195+346.48+483.75+144+43.34</f>
        <v>4736.43</v>
      </c>
      <c r="L204" s="19">
        <f t="shared" si="0"/>
        <v>207960.52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110386.88+52538.84</f>
        <v>162925.72</v>
      </c>
      <c r="G205" s="18">
        <f>38732.79+19487.96</f>
        <v>58220.75</v>
      </c>
      <c r="H205" s="18">
        <f>4636+3568.28+10987.71+7596.46+1290.08+871.21</f>
        <v>28949.739999999998</v>
      </c>
      <c r="I205" s="18">
        <f>1072.91+1597.38+116.08+66.93</f>
        <v>2853.2999999999997</v>
      </c>
      <c r="J205" s="18"/>
      <c r="K205" s="18">
        <f>2057.3+1582.85+300</f>
        <v>3940.15</v>
      </c>
      <c r="L205" s="19">
        <f t="shared" si="0"/>
        <v>256889.65999999997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74425.55</v>
      </c>
      <c r="G206" s="18">
        <v>36356.300000000003</v>
      </c>
      <c r="H206" s="18">
        <f>1184.63+1265.33+2234.37</f>
        <v>4684.33</v>
      </c>
      <c r="I206" s="18">
        <f>8612.33+16439.12</f>
        <v>25051.449999999997</v>
      </c>
      <c r="J206" s="18">
        <v>103.5</v>
      </c>
      <c r="K206" s="18">
        <v>9663.2999999999993</v>
      </c>
      <c r="L206" s="19">
        <f t="shared" si="0"/>
        <v>150284.43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93896.56+13173.42</f>
        <v>107069.98</v>
      </c>
      <c r="G207" s="18">
        <f>33323.48+1201.76</f>
        <v>34525.240000000005</v>
      </c>
      <c r="H207" s="18">
        <f>448.94+257.38+100+1930.61+650.4+16636.74+211.95+39446.71+11723.45+7.17+3909+1657+666+4500+144+3018</f>
        <v>85307.349999999991</v>
      </c>
      <c r="I207" s="18">
        <f>102637.01+26089.97+150+1141.18+557.56</f>
        <v>130575.71999999999</v>
      </c>
      <c r="J207" s="18">
        <f>200+161.14+224.99</f>
        <v>586.13</v>
      </c>
      <c r="K207" s="18"/>
      <c r="L207" s="19">
        <f t="shared" si="0"/>
        <v>358064.42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133020.35+98722.16</f>
        <v>231742.51</v>
      </c>
      <c r="I208" s="18"/>
      <c r="J208" s="18"/>
      <c r="K208" s="18"/>
      <c r="L208" s="19">
        <f t="shared" si="0"/>
        <v>231742.51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28186.21+18790.79</f>
        <v>46977</v>
      </c>
      <c r="G209" s="18">
        <f>13902.37+9255.08</f>
        <v>23157.45</v>
      </c>
      <c r="H209" s="18">
        <f>6023.25+305.68</f>
        <v>6328.93</v>
      </c>
      <c r="I209" s="18">
        <f>2247.44+257.28+248.97</f>
        <v>2753.69</v>
      </c>
      <c r="J209" s="18">
        <v>7227.92</v>
      </c>
      <c r="K209" s="18"/>
      <c r="L209" s="19">
        <f>SUM(F209:K209)</f>
        <v>86444.99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2520553.42</v>
      </c>
      <c r="G211" s="41">
        <f t="shared" si="1"/>
        <v>1087272.26</v>
      </c>
      <c r="H211" s="41">
        <f t="shared" si="1"/>
        <v>626320.45000000007</v>
      </c>
      <c r="I211" s="41">
        <f t="shared" si="1"/>
        <v>217276.13</v>
      </c>
      <c r="J211" s="41">
        <f t="shared" si="1"/>
        <v>25615.160000000003</v>
      </c>
      <c r="K211" s="41">
        <f t="shared" si="1"/>
        <v>24533.67</v>
      </c>
      <c r="L211" s="41">
        <f t="shared" si="1"/>
        <v>4501571.0900000008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783493.7</v>
      </c>
      <c r="G215" s="18">
        <v>339839.91</v>
      </c>
      <c r="H215" s="18">
        <f>22260.54+59.38</f>
        <v>22319.920000000002</v>
      </c>
      <c r="I215" s="18">
        <v>30669.34</v>
      </c>
      <c r="J215" s="18">
        <v>7863.36</v>
      </c>
      <c r="K215" s="18">
        <v>25</v>
      </c>
      <c r="L215" s="19">
        <f>SUM(F215:K215)</f>
        <v>1184211.23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102571.36</v>
      </c>
      <c r="G216" s="18">
        <f>39097.91+1620.02</f>
        <v>40717.93</v>
      </c>
      <c r="H216" s="18">
        <f>2596.1+135+33018.75</f>
        <v>35749.85</v>
      </c>
      <c r="I216" s="18">
        <v>1151.48</v>
      </c>
      <c r="J216" s="18">
        <v>1027.21</v>
      </c>
      <c r="K216" s="18">
        <f>1904.42+612.04</f>
        <v>2516.46</v>
      </c>
      <c r="L216" s="19">
        <f>SUM(F216:K216)</f>
        <v>183734.29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15756</v>
      </c>
      <c r="G218" s="18">
        <v>2972.25</v>
      </c>
      <c r="H218" s="18">
        <f>284.02-156.3</f>
        <v>127.71999999999997</v>
      </c>
      <c r="I218" s="18">
        <v>2107.2199999999998</v>
      </c>
      <c r="J218" s="18">
        <f>1398.34+2329.9</f>
        <v>3728.24</v>
      </c>
      <c r="K218" s="18">
        <f>6788.64+6.15</f>
        <v>6794.79</v>
      </c>
      <c r="L218" s="19">
        <f>SUM(F218:K218)</f>
        <v>31486.22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99307.22</v>
      </c>
      <c r="G220" s="18">
        <v>53499.32</v>
      </c>
      <c r="H220" s="18">
        <f>39800.41+44</f>
        <v>39844.410000000003</v>
      </c>
      <c r="I220" s="18">
        <f>1803.2+428.52+27.2+64.3</f>
        <v>2323.2200000000003</v>
      </c>
      <c r="J220" s="18"/>
      <c r="K220" s="18">
        <v>331.2</v>
      </c>
      <c r="L220" s="19">
        <f t="shared" ref="L220:L226" si="2">SUM(F220:K220)</f>
        <v>195305.37000000002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19898.01+15337.49</f>
        <v>35235.5</v>
      </c>
      <c r="G221" s="18">
        <f>25717.46+7034.13</f>
        <v>32751.59</v>
      </c>
      <c r="H221" s="18">
        <f>8850+39.42+227.74</f>
        <v>9117.16</v>
      </c>
      <c r="I221" s="18">
        <v>3760.13</v>
      </c>
      <c r="J221" s="18"/>
      <c r="K221" s="18">
        <v>8</v>
      </c>
      <c r="L221" s="19">
        <f t="shared" si="2"/>
        <v>80872.38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2100+32100.16+27176.27</f>
        <v>61376.430000000008</v>
      </c>
      <c r="G222" s="18">
        <f>264.54+10547.1+14760.58</f>
        <v>25572.22</v>
      </c>
      <c r="H222" s="18">
        <f>2435.98+1129.17+544.65+2569.76+201.01+632.31+1762.3+386.66+127.46+41.83</f>
        <v>9831.1299999999992</v>
      </c>
      <c r="I222" s="18">
        <f>91.7+561.54+178.56</f>
        <v>831.8</v>
      </c>
      <c r="J222" s="18"/>
      <c r="K222" s="18">
        <f>516+630.61+113+225.75+67.2+20.23</f>
        <v>1572.7900000000002</v>
      </c>
      <c r="L222" s="19">
        <f t="shared" si="2"/>
        <v>99184.37000000001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92629.96</v>
      </c>
      <c r="G223" s="18">
        <v>35569.129999999997</v>
      </c>
      <c r="H223" s="18">
        <f>1607.45+7886.02+1116.55+124.59</f>
        <v>10734.61</v>
      </c>
      <c r="I223" s="18">
        <f>1549.62+312.67</f>
        <v>1862.29</v>
      </c>
      <c r="J223" s="18">
        <v>115.99</v>
      </c>
      <c r="K223" s="18">
        <v>3061.34</v>
      </c>
      <c r="L223" s="19">
        <f t="shared" si="2"/>
        <v>143973.32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34731.919999999998</v>
      </c>
      <c r="G224" s="18">
        <v>16966.27</v>
      </c>
      <c r="H224" s="18">
        <f>552.83+590.49+1042.71</f>
        <v>2186.0300000000002</v>
      </c>
      <c r="I224" s="18">
        <f>4019.09+7671.59</f>
        <v>11690.68</v>
      </c>
      <c r="J224" s="18">
        <v>48.3</v>
      </c>
      <c r="K224" s="18">
        <v>4509.54</v>
      </c>
      <c r="L224" s="19">
        <f t="shared" si="2"/>
        <v>70132.739999999991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57382.78</v>
      </c>
      <c r="G225" s="18">
        <v>24947.82</v>
      </c>
      <c r="H225" s="18">
        <f>40961.29+75.2+10229.98+310.8+2100+3.35+5470.95+240.87+1434.4+219.19+1423.26+373.1+67.2+100</f>
        <v>63009.590000000004</v>
      </c>
      <c r="I225" s="18">
        <f>55638.81+1905.04</f>
        <v>57543.85</v>
      </c>
      <c r="J225" s="18">
        <f>861.4+105</f>
        <v>966.4</v>
      </c>
      <c r="K225" s="18"/>
      <c r="L225" s="19">
        <f t="shared" si="2"/>
        <v>203850.44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86579.39+424.35</f>
        <v>87003.74</v>
      </c>
      <c r="I226" s="18"/>
      <c r="J226" s="18"/>
      <c r="K226" s="18"/>
      <c r="L226" s="19">
        <f t="shared" si="2"/>
        <v>87003.74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23350.68</v>
      </c>
      <c r="G227" s="18">
        <v>10053.75</v>
      </c>
      <c r="H227" s="18">
        <f>25+4536.37</f>
        <v>4561.37</v>
      </c>
      <c r="I227" s="18">
        <v>23.72</v>
      </c>
      <c r="J227" s="18"/>
      <c r="K227" s="18"/>
      <c r="L227" s="19">
        <f>SUM(F227:K227)</f>
        <v>37989.520000000004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1305835.5499999998</v>
      </c>
      <c r="G229" s="41">
        <f>SUM(G215:G228)</f>
        <v>582890.18999999994</v>
      </c>
      <c r="H229" s="41">
        <f>SUM(H215:H228)</f>
        <v>284485.53000000003</v>
      </c>
      <c r="I229" s="41">
        <f>SUM(I215:I228)</f>
        <v>111963.73000000001</v>
      </c>
      <c r="J229" s="41">
        <f>SUM(J215:J228)</f>
        <v>13749.499999999998</v>
      </c>
      <c r="K229" s="41">
        <f t="shared" si="3"/>
        <v>18819.120000000003</v>
      </c>
      <c r="L229" s="41">
        <f t="shared" si="3"/>
        <v>2317743.6200000006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1130683.3700000001</v>
      </c>
      <c r="G233" s="18">
        <v>459822.59</v>
      </c>
      <c r="H233" s="18">
        <f>23361.79+67.34</f>
        <v>23429.13</v>
      </c>
      <c r="I233" s="18">
        <v>44534.1</v>
      </c>
      <c r="J233" s="18">
        <v>11794.93</v>
      </c>
      <c r="K233" s="18"/>
      <c r="L233" s="19">
        <f>SUM(F233:K233)</f>
        <v>1670264.12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140541.70000000001</v>
      </c>
      <c r="G234" s="18">
        <v>48631.71</v>
      </c>
      <c r="H234" s="18">
        <f>1621.39+135+354609.95+11106.24</f>
        <v>367472.58</v>
      </c>
      <c r="I234" s="18">
        <f>1359.29+1000+104.11</f>
        <v>2463.4</v>
      </c>
      <c r="J234" s="18">
        <v>557.72</v>
      </c>
      <c r="K234" s="18">
        <f>1675.88+538.6</f>
        <v>2214.48</v>
      </c>
      <c r="L234" s="19">
        <f>SUM(F234:K234)</f>
        <v>561881.59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f>5084.64+606.34</f>
        <v>5690.9800000000005</v>
      </c>
      <c r="I235" s="18"/>
      <c r="J235" s="18"/>
      <c r="K235" s="18"/>
      <c r="L235" s="19">
        <f>SUM(F235:K235)</f>
        <v>5690.9800000000005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51916</v>
      </c>
      <c r="G236" s="18">
        <v>8069</v>
      </c>
      <c r="H236" s="18">
        <f>426.04-234.45</f>
        <v>191.59000000000003</v>
      </c>
      <c r="I236" s="18">
        <v>3160.08</v>
      </c>
      <c r="J236" s="18">
        <f>2097.5+3494.85</f>
        <v>5592.35</v>
      </c>
      <c r="K236" s="18">
        <v>4970.59</v>
      </c>
      <c r="L236" s="19">
        <f>SUM(F236:K236)</f>
        <v>73899.61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88407</v>
      </c>
      <c r="G238" s="18">
        <v>55612.77</v>
      </c>
      <c r="H238" s="18">
        <f>47726.85+3205.27+66</f>
        <v>50998.119999999995</v>
      </c>
      <c r="I238" s="18">
        <f>2702.03+377.09+40.8</f>
        <v>3119.9200000000005</v>
      </c>
      <c r="J238" s="18"/>
      <c r="K238" s="18">
        <v>496.8</v>
      </c>
      <c r="L238" s="19">
        <f t="shared" ref="L238:L244" si="4">SUM(F238:K238)</f>
        <v>198634.61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29846.95+13496.99</f>
        <v>43343.94</v>
      </c>
      <c r="G239" s="18">
        <f>37728.67+6190.03</f>
        <v>43918.7</v>
      </c>
      <c r="H239" s="18">
        <f>59.12+200.41</f>
        <v>259.52999999999997</v>
      </c>
      <c r="I239" s="18">
        <v>5639.95</v>
      </c>
      <c r="J239" s="18"/>
      <c r="K239" s="18">
        <v>12</v>
      </c>
      <c r="L239" s="19">
        <f t="shared" si="4"/>
        <v>93174.12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1100+51971.69+23915.12</f>
        <v>76986.81</v>
      </c>
      <c r="G240" s="18">
        <f>80.3+17076.25+12989.31</f>
        <v>30145.86</v>
      </c>
      <c r="H240" s="18">
        <f>4485.21+1547.27+626.03+881.82+4160.57+176.89+556.43+1550.82+206.37+67.72</f>
        <v>14259.129999999997</v>
      </c>
      <c r="I240" s="18">
        <f>103.8+909.15+157.13</f>
        <v>1170.08</v>
      </c>
      <c r="J240" s="18"/>
      <c r="K240" s="18">
        <f>774+1020.99+237+365.5+108.8+32.75</f>
        <v>2539.04</v>
      </c>
      <c r="L240" s="19">
        <f t="shared" si="4"/>
        <v>125100.91999999998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138944.84</v>
      </c>
      <c r="G241" s="18">
        <f>52723.17</f>
        <v>52723.17</v>
      </c>
      <c r="H241" s="18">
        <f>2411.21+11829.01+186.88+1674.82</f>
        <v>16101.92</v>
      </c>
      <c r="I241" s="18">
        <f>2338.08+469</f>
        <v>2807.08</v>
      </c>
      <c r="J241" s="18">
        <v>173.97</v>
      </c>
      <c r="K241" s="18">
        <v>4650.66</v>
      </c>
      <c r="L241" s="19">
        <f t="shared" si="4"/>
        <v>215401.64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56232.639999999999</v>
      </c>
      <c r="G242" s="18">
        <v>27469.21</v>
      </c>
      <c r="H242" s="18">
        <f>895.05+956.03+1688.19</f>
        <v>3539.27</v>
      </c>
      <c r="I242" s="18">
        <f>6507.09+12420.67</f>
        <v>18927.760000000002</v>
      </c>
      <c r="J242" s="18">
        <v>78.2</v>
      </c>
      <c r="K242" s="18">
        <v>7301.16</v>
      </c>
      <c r="L242" s="19">
        <f t="shared" si="4"/>
        <v>113548.24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85912.5</v>
      </c>
      <c r="G243" s="18">
        <v>35684.17</v>
      </c>
      <c r="H243" s="18">
        <f>54517.39+112.8+15345.37+503.2+3400+5.42+8857.72+389.98+2151.6+328.79+1758.79+613.57+108.8</f>
        <v>88093.43</v>
      </c>
      <c r="I243" s="18">
        <f>83461.46+2814.63</f>
        <v>86276.090000000011</v>
      </c>
      <c r="J243" s="18">
        <f>1285.75+169.99</f>
        <v>1455.74</v>
      </c>
      <c r="K243" s="18"/>
      <c r="L243" s="19">
        <f t="shared" si="4"/>
        <v>297421.93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92500.14+636.53</f>
        <v>93136.67</v>
      </c>
      <c r="I244" s="18"/>
      <c r="J244" s="18"/>
      <c r="K244" s="18"/>
      <c r="L244" s="19">
        <f t="shared" si="4"/>
        <v>93136.67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35025.879999999997</v>
      </c>
      <c r="G245" s="18">
        <v>15174.97</v>
      </c>
      <c r="H245" s="18">
        <f>25+6804.56</f>
        <v>6829.56</v>
      </c>
      <c r="I245" s="18">
        <v>35.57</v>
      </c>
      <c r="J245" s="18"/>
      <c r="K245" s="18"/>
      <c r="L245" s="19">
        <f>SUM(F245:K245)</f>
        <v>57065.979999999996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1847994.68</v>
      </c>
      <c r="G247" s="41">
        <f t="shared" si="5"/>
        <v>777252.15</v>
      </c>
      <c r="H247" s="41">
        <f t="shared" si="5"/>
        <v>670001.91000000015</v>
      </c>
      <c r="I247" s="41">
        <f t="shared" si="5"/>
        <v>168134.03000000003</v>
      </c>
      <c r="J247" s="41">
        <f t="shared" si="5"/>
        <v>19652.910000000003</v>
      </c>
      <c r="K247" s="41">
        <f t="shared" si="5"/>
        <v>22184.73</v>
      </c>
      <c r="L247" s="41">
        <f t="shared" si="5"/>
        <v>3505220.41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5674383.6499999994</v>
      </c>
      <c r="G257" s="41">
        <f t="shared" si="8"/>
        <v>2447414.6</v>
      </c>
      <c r="H257" s="41">
        <f t="shared" si="8"/>
        <v>1580807.8900000001</v>
      </c>
      <c r="I257" s="41">
        <f t="shared" si="8"/>
        <v>497373.89</v>
      </c>
      <c r="J257" s="41">
        <f t="shared" si="8"/>
        <v>59017.570000000007</v>
      </c>
      <c r="K257" s="41">
        <f t="shared" si="8"/>
        <v>65537.52</v>
      </c>
      <c r="L257" s="41">
        <f t="shared" si="8"/>
        <v>10324535.120000001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325000</v>
      </c>
      <c r="L260" s="19">
        <f>SUM(F260:K260)</f>
        <v>325000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109856.25</v>
      </c>
      <c r="L261" s="19">
        <f>SUM(F261:K261)</f>
        <v>109856.25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240000</v>
      </c>
      <c r="L266" s="19">
        <f t="shared" si="9"/>
        <v>240000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674856.25</v>
      </c>
      <c r="L270" s="41">
        <f t="shared" si="9"/>
        <v>674856.25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5674383.6499999994</v>
      </c>
      <c r="G271" s="42">
        <f t="shared" si="11"/>
        <v>2447414.6</v>
      </c>
      <c r="H271" s="42">
        <f t="shared" si="11"/>
        <v>1580807.8900000001</v>
      </c>
      <c r="I271" s="42">
        <f t="shared" si="11"/>
        <v>497373.89</v>
      </c>
      <c r="J271" s="42">
        <f t="shared" si="11"/>
        <v>59017.570000000007</v>
      </c>
      <c r="K271" s="42">
        <f t="shared" si="11"/>
        <v>740393.77</v>
      </c>
      <c r="L271" s="42">
        <f t="shared" si="11"/>
        <v>10999391.370000001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16983.75+55846.11</f>
        <v>72829.86</v>
      </c>
      <c r="G276" s="18">
        <f>3928.02+16104.97</f>
        <v>20032.989999999998</v>
      </c>
      <c r="H276" s="18">
        <f>1820.61+988.9+2224.31</f>
        <v>5033.82</v>
      </c>
      <c r="I276" s="18">
        <f>7527.6+627.88-0.02</f>
        <v>8155.46</v>
      </c>
      <c r="J276" s="18"/>
      <c r="K276" s="18"/>
      <c r="L276" s="19">
        <f>SUM(F276:K276)</f>
        <v>106052.13000000002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>
        <f>2255.38+6457.88</f>
        <v>8713.26</v>
      </c>
      <c r="J277" s="18">
        <f>1534+56.48</f>
        <v>1590.48</v>
      </c>
      <c r="K277" s="18" t="s">
        <v>287</v>
      </c>
      <c r="L277" s="19">
        <f>SUM(F277:K277)</f>
        <v>10303.74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2992.5</v>
      </c>
      <c r="G279" s="18">
        <v>228.92</v>
      </c>
      <c r="H279" s="18"/>
      <c r="I279" s="18"/>
      <c r="J279" s="18"/>
      <c r="K279" s="18"/>
      <c r="L279" s="19">
        <f>SUM(F279:K279)</f>
        <v>3221.42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6500</v>
      </c>
      <c r="G281" s="18">
        <v>1847.49</v>
      </c>
      <c r="H281" s="18">
        <f>500+8606.79+11957.5</f>
        <v>21064.29</v>
      </c>
      <c r="I281" s="18">
        <f>1203.62+250.7</f>
        <v>1454.32</v>
      </c>
      <c r="J281" s="18">
        <v>7996.71</v>
      </c>
      <c r="K281" s="18"/>
      <c r="L281" s="19">
        <f t="shared" ref="L281:L287" si="12">SUM(F281:K281)</f>
        <v>38862.81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1644+3100+6360.93</f>
        <v>11104.93</v>
      </c>
      <c r="G282" s="18">
        <f>270.44+642.95+416.42</f>
        <v>1329.8100000000002</v>
      </c>
      <c r="H282" s="18">
        <f>143+10142.4+9743.39+5717.92</f>
        <v>25746.71</v>
      </c>
      <c r="I282" s="18">
        <f>740.85+722.11</f>
        <v>1462.96</v>
      </c>
      <c r="J282" s="18">
        <v>9000</v>
      </c>
      <c r="K282" s="18">
        <v>22.05</v>
      </c>
      <c r="L282" s="19">
        <f t="shared" si="12"/>
        <v>48666.46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93427.290000000008</v>
      </c>
      <c r="G290" s="42">
        <f t="shared" si="13"/>
        <v>23439.21</v>
      </c>
      <c r="H290" s="42">
        <f t="shared" si="13"/>
        <v>51844.82</v>
      </c>
      <c r="I290" s="42">
        <f t="shared" si="13"/>
        <v>19786</v>
      </c>
      <c r="J290" s="42">
        <f t="shared" si="13"/>
        <v>18587.190000000002</v>
      </c>
      <c r="K290" s="42">
        <f t="shared" si="13"/>
        <v>22.05</v>
      </c>
      <c r="L290" s="41">
        <f t="shared" si="13"/>
        <v>207106.56000000003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>
        <f>461.49+1038.01</f>
        <v>1499.5</v>
      </c>
      <c r="I295" s="18"/>
      <c r="J295" s="18"/>
      <c r="K295" s="18"/>
      <c r="L295" s="19">
        <f>SUM(F295:K295)</f>
        <v>1499.5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6500</v>
      </c>
      <c r="G300" s="18">
        <v>1847.49</v>
      </c>
      <c r="H300" s="18">
        <f>8606.79+5978.75</f>
        <v>14585.54</v>
      </c>
      <c r="I300" s="18"/>
      <c r="J300" s="18"/>
      <c r="K300" s="18"/>
      <c r="L300" s="19">
        <f t="shared" ref="L300:L306" si="14">SUM(F300:K300)</f>
        <v>22933.03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500</v>
      </c>
      <c r="G301" s="18">
        <v>191.74</v>
      </c>
      <c r="H301" s="18">
        <v>4546.92</v>
      </c>
      <c r="I301" s="18">
        <v>336.98</v>
      </c>
      <c r="J301" s="18"/>
      <c r="K301" s="18">
        <v>10.29</v>
      </c>
      <c r="L301" s="19">
        <f t="shared" si="14"/>
        <v>5585.9299999999994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>
        <v>2210.8000000000002</v>
      </c>
      <c r="K305" s="18"/>
      <c r="L305" s="19">
        <f t="shared" si="14"/>
        <v>2210.8000000000002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7000</v>
      </c>
      <c r="G309" s="42">
        <f t="shared" si="15"/>
        <v>2039.23</v>
      </c>
      <c r="H309" s="42">
        <f t="shared" si="15"/>
        <v>20631.96</v>
      </c>
      <c r="I309" s="42">
        <f t="shared" si="15"/>
        <v>336.98</v>
      </c>
      <c r="J309" s="42">
        <f t="shared" si="15"/>
        <v>2210.8000000000002</v>
      </c>
      <c r="K309" s="42">
        <f t="shared" si="15"/>
        <v>10.29</v>
      </c>
      <c r="L309" s="41">
        <f t="shared" si="15"/>
        <v>32229.26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>
        <f>747.17+1680.59</f>
        <v>2427.7599999999998</v>
      </c>
      <c r="I314" s="18"/>
      <c r="J314" s="18"/>
      <c r="K314" s="18"/>
      <c r="L314" s="19">
        <f>SUM(F314:K314)</f>
        <v>2427.7599999999998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19081.7</v>
      </c>
      <c r="G315" s="18">
        <v>1459.72</v>
      </c>
      <c r="H315" s="18"/>
      <c r="I315" s="18"/>
      <c r="J315" s="18"/>
      <c r="K315" s="18"/>
      <c r="L315" s="19">
        <f>SUM(F315:K315)</f>
        <v>20541.420000000002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6500</v>
      </c>
      <c r="G319" s="18">
        <v>1847.49</v>
      </c>
      <c r="H319" s="18">
        <f>8606.79+5978.75+13807</f>
        <v>28392.54</v>
      </c>
      <c r="I319" s="18"/>
      <c r="J319" s="18"/>
      <c r="K319" s="18"/>
      <c r="L319" s="19">
        <f t="shared" ref="L319:L325" si="16">SUM(F319:K319)</f>
        <v>36740.03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3000</v>
      </c>
      <c r="G320" s="18">
        <v>545.74</v>
      </c>
      <c r="H320" s="18">
        <v>7361.67</v>
      </c>
      <c r="I320" s="18">
        <v>545.59</v>
      </c>
      <c r="J320" s="18"/>
      <c r="K320" s="18">
        <v>16.66</v>
      </c>
      <c r="L320" s="19">
        <f t="shared" si="16"/>
        <v>11469.66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>
        <v>3316.2</v>
      </c>
      <c r="K324" s="18"/>
      <c r="L324" s="19">
        <f t="shared" si="16"/>
        <v>3316.2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28581.7</v>
      </c>
      <c r="G328" s="42">
        <f t="shared" si="17"/>
        <v>3852.95</v>
      </c>
      <c r="H328" s="42">
        <f t="shared" si="17"/>
        <v>38181.97</v>
      </c>
      <c r="I328" s="42">
        <f t="shared" si="17"/>
        <v>545.59</v>
      </c>
      <c r="J328" s="42">
        <f t="shared" si="17"/>
        <v>3316.2</v>
      </c>
      <c r="K328" s="42">
        <f t="shared" si="17"/>
        <v>16.66</v>
      </c>
      <c r="L328" s="41">
        <f t="shared" si="17"/>
        <v>74495.069999999992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129008.99</v>
      </c>
      <c r="G338" s="41">
        <f t="shared" si="20"/>
        <v>29331.39</v>
      </c>
      <c r="H338" s="41">
        <f t="shared" si="20"/>
        <v>110658.75</v>
      </c>
      <c r="I338" s="41">
        <f t="shared" si="20"/>
        <v>20668.57</v>
      </c>
      <c r="J338" s="41">
        <f t="shared" si="20"/>
        <v>24114.190000000002</v>
      </c>
      <c r="K338" s="41">
        <f t="shared" si="20"/>
        <v>49</v>
      </c>
      <c r="L338" s="41">
        <f t="shared" si="20"/>
        <v>313830.89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129008.99</v>
      </c>
      <c r="G352" s="41">
        <f>G338</f>
        <v>29331.39</v>
      </c>
      <c r="H352" s="41">
        <f>H338</f>
        <v>110658.75</v>
      </c>
      <c r="I352" s="41">
        <f>I338</f>
        <v>20668.57</v>
      </c>
      <c r="J352" s="41">
        <f>J338</f>
        <v>24114.190000000002</v>
      </c>
      <c r="K352" s="47">
        <f>K338+K351</f>
        <v>49</v>
      </c>
      <c r="L352" s="41">
        <f>L338+L351</f>
        <v>313830.89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14014.4+17993.19+16641.35</f>
        <v>48648.939999999995</v>
      </c>
      <c r="G358" s="18">
        <f>701.25+743.57+2000+6216+2579.37+999.65-0.01</f>
        <v>13239.829999999998</v>
      </c>
      <c r="H358" s="18">
        <f>276.9+743.88+0.01</f>
        <v>1020.79</v>
      </c>
      <c r="I358" s="18">
        <f>601.16+979.53+1850.26+136.18+2798.61+35852.2</f>
        <v>42217.939999999995</v>
      </c>
      <c r="J358" s="18"/>
      <c r="K358" s="18">
        <v>609.53</v>
      </c>
      <c r="L358" s="13">
        <f>SUM(F358:K358)</f>
        <v>105737.02999999998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13843.93+8005.09</f>
        <v>21849.02</v>
      </c>
      <c r="G359" s="18">
        <f>546.62+2495.2+1240.77+480.87</f>
        <v>4763.46</v>
      </c>
      <c r="H359" s="18">
        <f>443.82+665.74+357.83</f>
        <v>1467.3899999999999</v>
      </c>
      <c r="I359" s="18">
        <f>300+65.51+1346.23+17246.21</f>
        <v>18957.95</v>
      </c>
      <c r="J359" s="18">
        <v>200</v>
      </c>
      <c r="K359" s="18">
        <v>293.20999999999998</v>
      </c>
      <c r="L359" s="19">
        <f>SUM(F359:K359)</f>
        <v>47531.03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22935.69+12007.64</f>
        <v>34943.33</v>
      </c>
      <c r="G360" s="18">
        <f>3742.8+1861.16+721.3+985.85</f>
        <v>7311.1100000000006</v>
      </c>
      <c r="H360" s="18">
        <f>487.22+730.82+536.75</f>
        <v>1754.79</v>
      </c>
      <c r="I360" s="18">
        <f>600+98.26+2019.35+25869.32</f>
        <v>28586.93</v>
      </c>
      <c r="J360" s="18">
        <v>300</v>
      </c>
      <c r="K360" s="18">
        <v>439.81</v>
      </c>
      <c r="L360" s="19">
        <f>SUM(F360:K360)</f>
        <v>73335.97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105441.29</v>
      </c>
      <c r="G362" s="47">
        <f t="shared" si="22"/>
        <v>25314.399999999998</v>
      </c>
      <c r="H362" s="47">
        <f t="shared" si="22"/>
        <v>4242.9699999999993</v>
      </c>
      <c r="I362" s="47">
        <f t="shared" si="22"/>
        <v>89762.82</v>
      </c>
      <c r="J362" s="47">
        <f t="shared" si="22"/>
        <v>500</v>
      </c>
      <c r="K362" s="47">
        <f t="shared" si="22"/>
        <v>1342.55</v>
      </c>
      <c r="L362" s="47">
        <f t="shared" si="22"/>
        <v>226604.03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35852.199999999997</v>
      </c>
      <c r="G367" s="18">
        <v>17246.21</v>
      </c>
      <c r="H367" s="18">
        <v>25869.32</v>
      </c>
      <c r="I367" s="56">
        <f>SUM(F367:H367)</f>
        <v>78967.73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6365.74</v>
      </c>
      <c r="G368" s="63">
        <v>1711.74</v>
      </c>
      <c r="H368" s="63">
        <v>2717.61</v>
      </c>
      <c r="I368" s="56">
        <f>SUM(F368:H368)</f>
        <v>10795.09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42217.939999999995</v>
      </c>
      <c r="G369" s="47">
        <f>SUM(G367:G368)</f>
        <v>18957.95</v>
      </c>
      <c r="H369" s="47">
        <f>SUM(H367:H368)</f>
        <v>28586.93</v>
      </c>
      <c r="I369" s="47">
        <f>SUM(I367:I368)</f>
        <v>89762.819999999992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f>57800+5200</f>
        <v>63000</v>
      </c>
      <c r="I376" s="18"/>
      <c r="J376" s="18"/>
      <c r="K376" s="18"/>
      <c r="L376" s="13">
        <f t="shared" si="23"/>
        <v>63000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>
        <f>425+977.33</f>
        <v>1402.33</v>
      </c>
      <c r="I380" s="18"/>
      <c r="J380" s="18"/>
      <c r="K380" s="18"/>
      <c r="L380" s="13">
        <f t="shared" si="23"/>
        <v>1402.33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64402.33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64402.33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220000</v>
      </c>
      <c r="H396" s="18">
        <v>294.99</v>
      </c>
      <c r="I396" s="18"/>
      <c r="J396" s="24" t="s">
        <v>289</v>
      </c>
      <c r="K396" s="24" t="s">
        <v>289</v>
      </c>
      <c r="L396" s="56">
        <f t="shared" si="26"/>
        <v>220294.99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271.64</v>
      </c>
      <c r="I397" s="18"/>
      <c r="J397" s="24" t="s">
        <v>289</v>
      </c>
      <c r="K397" s="24" t="s">
        <v>289</v>
      </c>
      <c r="L397" s="56">
        <f t="shared" si="26"/>
        <v>271.64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20000</v>
      </c>
      <c r="H399" s="18">
        <v>12.22</v>
      </c>
      <c r="I399" s="18"/>
      <c r="J399" s="24" t="s">
        <v>289</v>
      </c>
      <c r="K399" s="24" t="s">
        <v>289</v>
      </c>
      <c r="L399" s="56">
        <f t="shared" si="26"/>
        <v>20012.22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240000</v>
      </c>
      <c r="H401" s="47">
        <f>SUM(H395:H400)</f>
        <v>578.85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240578.85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240000</v>
      </c>
      <c r="H408" s="47">
        <f>H393+H401+H407</f>
        <v>578.85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240578.85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>
        <v>33084</v>
      </c>
      <c r="L418" s="56">
        <f t="shared" si="27"/>
        <v>33084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33084</v>
      </c>
      <c r="L419" s="47">
        <f t="shared" si="28"/>
        <v>33084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 t="s">
        <v>287</v>
      </c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33084</v>
      </c>
      <c r="L434" s="47">
        <f t="shared" si="32"/>
        <v>33084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485506.15</v>
      </c>
      <c r="G439" s="18"/>
      <c r="H439" s="18"/>
      <c r="I439" s="56">
        <f t="shared" ref="I439:I445" si="33">SUM(F439:H439)</f>
        <v>485506.15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485506.15</v>
      </c>
      <c r="G446" s="13">
        <f>SUM(G439:G445)</f>
        <v>0</v>
      </c>
      <c r="H446" s="13">
        <f>SUM(H439:H445)</f>
        <v>0</v>
      </c>
      <c r="I446" s="13">
        <f>SUM(I439:I445)</f>
        <v>485506.15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485506.15</v>
      </c>
      <c r="G456" s="18"/>
      <c r="H456" s="18"/>
      <c r="I456" s="56">
        <f t="shared" si="34"/>
        <v>485506.15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485506.15</v>
      </c>
      <c r="G460" s="83">
        <f>SUM(G454:G459)</f>
        <v>0</v>
      </c>
      <c r="H460" s="83">
        <f>SUM(H454:H459)</f>
        <v>0</v>
      </c>
      <c r="I460" s="83">
        <f>SUM(I454:I459)</f>
        <v>485506.15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485506.15</v>
      </c>
      <c r="G461" s="42">
        <f>G452+G460</f>
        <v>0</v>
      </c>
      <c r="H461" s="42">
        <f>H452+H460</f>
        <v>0</v>
      </c>
      <c r="I461" s="42">
        <f>I452+I460</f>
        <v>485506.15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f>450433.16</f>
        <v>450433.16</v>
      </c>
      <c r="G465" s="18">
        <v>4337</v>
      </c>
      <c r="H465" s="18">
        <v>1077.24</v>
      </c>
      <c r="I465" s="18">
        <v>0</v>
      </c>
      <c r="J465" s="18">
        <v>278011.3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11179473.13+33084</f>
        <v>11212557.130000001</v>
      </c>
      <c r="G468" s="18">
        <v>206259.42</v>
      </c>
      <c r="H468" s="18">
        <f>262918.26+50284.75</f>
        <v>313203.01</v>
      </c>
      <c r="I468" s="18"/>
      <c r="J468" s="18">
        <f>240000+578.85</f>
        <v>240578.85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-33084</v>
      </c>
      <c r="G469" s="18">
        <v>25.98</v>
      </c>
      <c r="H469" s="18"/>
      <c r="I469" s="18"/>
      <c r="J469" s="18" t="s">
        <v>287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11179473.130000001</v>
      </c>
      <c r="G470" s="53">
        <f>SUM(G468:G469)</f>
        <v>206285.40000000002</v>
      </c>
      <c r="H470" s="53">
        <f>SUM(H468:H469)</f>
        <v>313203.01</v>
      </c>
      <c r="I470" s="53">
        <f>SUM(I468:I469)</f>
        <v>0</v>
      </c>
      <c r="J470" s="53">
        <f>SUM(J468:J469)</f>
        <v>240578.85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11032475.37-33084</f>
        <v>10999391.369999999</v>
      </c>
      <c r="G472" s="18">
        <v>226604.03</v>
      </c>
      <c r="H472" s="18">
        <f>313203.01+627.88</f>
        <v>313830.89</v>
      </c>
      <c r="I472" s="18">
        <v>64402.33</v>
      </c>
      <c r="J472" s="18">
        <v>33084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f>140890.97-33084</f>
        <v>107806.97</v>
      </c>
      <c r="G473" s="18" t="s">
        <v>287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11107198.34</v>
      </c>
      <c r="G474" s="53">
        <f>SUM(G472:G473)</f>
        <v>226604.03</v>
      </c>
      <c r="H474" s="53">
        <f>SUM(H472:H473)</f>
        <v>313830.89</v>
      </c>
      <c r="I474" s="53">
        <f>SUM(I472:I473)</f>
        <v>64402.33</v>
      </c>
      <c r="J474" s="53">
        <f>SUM(J472:J473)</f>
        <v>33084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522707.95000000112</v>
      </c>
      <c r="G476" s="53">
        <f>(G465+G470)- G474</f>
        <v>-15981.629999999976</v>
      </c>
      <c r="H476" s="53">
        <f>(H465+H470)- H474</f>
        <v>449.35999999998603</v>
      </c>
      <c r="I476" s="53">
        <f>(I465+I470)- I474</f>
        <v>-64402.33</v>
      </c>
      <c r="J476" s="53">
        <f>(J465+J470)- J474</f>
        <v>485506.15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915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 t="s">
        <v>918</v>
      </c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920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 t="s">
        <v>916</v>
      </c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 t="s">
        <v>919</v>
      </c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6476775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5.2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2255000</v>
      </c>
      <c r="G495" s="18"/>
      <c r="H495" s="18"/>
      <c r="I495" s="18"/>
      <c r="J495" s="18"/>
      <c r="K495" s="53">
        <f>SUM(F495:J495)</f>
        <v>2255000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325000</v>
      </c>
      <c r="G497" s="18"/>
      <c r="H497" s="18"/>
      <c r="I497" s="18"/>
      <c r="J497" s="18"/>
      <c r="K497" s="53">
        <f t="shared" si="35"/>
        <v>325000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1930000</v>
      </c>
      <c r="G498" s="204"/>
      <c r="H498" s="204"/>
      <c r="I498" s="204"/>
      <c r="J498" s="204"/>
      <c r="K498" s="205">
        <f t="shared" si="35"/>
        <v>1930000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302925.25</v>
      </c>
      <c r="G499" s="18"/>
      <c r="H499" s="18"/>
      <c r="I499" s="18"/>
      <c r="J499" s="18"/>
      <c r="K499" s="53">
        <f t="shared" si="35"/>
        <v>302925.25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2232925.25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2232925.25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325000</v>
      </c>
      <c r="G501" s="204"/>
      <c r="H501" s="204"/>
      <c r="I501" s="204"/>
      <c r="J501" s="204"/>
      <c r="K501" s="205">
        <f t="shared" si="35"/>
        <v>325000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92794</v>
      </c>
      <c r="G502" s="18"/>
      <c r="H502" s="18"/>
      <c r="I502" s="18"/>
      <c r="J502" s="18"/>
      <c r="K502" s="53">
        <f t="shared" si="35"/>
        <v>92794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417794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417794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439911.19</v>
      </c>
      <c r="G521" s="18">
        <v>161381.49</v>
      </c>
      <c r="H521" s="18">
        <v>4860.62</v>
      </c>
      <c r="I521" s="18">
        <v>4597.37</v>
      </c>
      <c r="J521" s="18">
        <f>1153.09+9000</f>
        <v>10153.09</v>
      </c>
      <c r="K521" s="18">
        <v>5334.89</v>
      </c>
      <c r="L521" s="88">
        <f>SUM(F521:K521)</f>
        <v>626238.64999999991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102571.36</v>
      </c>
      <c r="G522" s="18">
        <v>40717.93</v>
      </c>
      <c r="H522" s="18">
        <v>35749.85</v>
      </c>
      <c r="I522" s="18">
        <v>1151.48</v>
      </c>
      <c r="J522" s="18">
        <v>1027.21</v>
      </c>
      <c r="K522" s="18">
        <v>2516.46</v>
      </c>
      <c r="L522" s="88">
        <f>SUM(F522:K522)</f>
        <v>183734.29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140541.70000000001</v>
      </c>
      <c r="G523" s="18">
        <v>48631.71</v>
      </c>
      <c r="H523" s="18">
        <v>367472.58</v>
      </c>
      <c r="I523" s="18">
        <v>2463.4</v>
      </c>
      <c r="J523" s="18">
        <v>557.72</v>
      </c>
      <c r="K523" s="18">
        <v>2214.48</v>
      </c>
      <c r="L523" s="88">
        <f>SUM(F523:K523)</f>
        <v>561881.59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683024.25</v>
      </c>
      <c r="G524" s="108">
        <f t="shared" ref="G524:L524" si="36">SUM(G521:G523)</f>
        <v>250731.12999999998</v>
      </c>
      <c r="H524" s="108">
        <f t="shared" si="36"/>
        <v>408083.05000000005</v>
      </c>
      <c r="I524" s="108">
        <f t="shared" si="36"/>
        <v>8212.25</v>
      </c>
      <c r="J524" s="108">
        <f t="shared" si="36"/>
        <v>11738.019999999999</v>
      </c>
      <c r="K524" s="108">
        <f t="shared" si="36"/>
        <v>10065.83</v>
      </c>
      <c r="L524" s="89">
        <f t="shared" si="36"/>
        <v>1371854.5299999998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6500+87836.49</f>
        <v>94336.49</v>
      </c>
      <c r="G526" s="18">
        <f>1847.49+36464.58</f>
        <v>38312.07</v>
      </c>
      <c r="H526" s="18">
        <f>8606.79+11957.5+5717.92+1698.79+221587.25+1213.17</f>
        <v>250781.42</v>
      </c>
      <c r="I526" s="18">
        <f>1454.32+908.46+723.85</f>
        <v>3086.6299999999997</v>
      </c>
      <c r="J526" s="18">
        <f>7996.71+155.85</f>
        <v>8152.56</v>
      </c>
      <c r="K526" s="18"/>
      <c r="L526" s="88">
        <f>SUM(F526:K526)</f>
        <v>394669.17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6500+41432.31</f>
        <v>47932.31</v>
      </c>
      <c r="G527" s="18">
        <f>1847.49+17200.28</f>
        <v>19047.77</v>
      </c>
      <c r="H527" s="18">
        <f>8606.79+5978.75+801.32+37354.19+572.25</f>
        <v>53313.3</v>
      </c>
      <c r="I527" s="18">
        <v>428.52</v>
      </c>
      <c r="J527" s="18">
        <v>73.510000000000005</v>
      </c>
      <c r="K527" s="18"/>
      <c r="L527" s="88">
        <f>SUM(F527:K527)</f>
        <v>120795.41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6500+36460.43</f>
        <v>42960.43</v>
      </c>
      <c r="G528" s="18">
        <f>1847.49+15136.24</f>
        <v>16983.73</v>
      </c>
      <c r="H528" s="18">
        <f>8606.79+5978.75+13807+705.16+43976.52+503.58</f>
        <v>73577.8</v>
      </c>
      <c r="I528" s="18">
        <v>377.1</v>
      </c>
      <c r="J528" s="18">
        <v>64.69</v>
      </c>
      <c r="K528" s="18"/>
      <c r="L528" s="88">
        <f>SUM(F528:K528)</f>
        <v>133963.75000000003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185229.22999999998</v>
      </c>
      <c r="G529" s="89">
        <f t="shared" ref="G529:L529" si="37">SUM(G526:G528)</f>
        <v>74343.569999999992</v>
      </c>
      <c r="H529" s="89">
        <f t="shared" si="37"/>
        <v>377672.52</v>
      </c>
      <c r="I529" s="89">
        <f t="shared" si="37"/>
        <v>3892.2499999999995</v>
      </c>
      <c r="J529" s="89">
        <f t="shared" si="37"/>
        <v>8290.76</v>
      </c>
      <c r="K529" s="89">
        <f t="shared" si="37"/>
        <v>0</v>
      </c>
      <c r="L529" s="89">
        <f t="shared" si="37"/>
        <v>649428.32999999996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57613.69+32515.47</f>
        <v>90129.16</v>
      </c>
      <c r="G531" s="18">
        <f>31292.42+14912.36</f>
        <v>46204.78</v>
      </c>
      <c r="H531" s="18">
        <f>1340.59+3736.07+482.8</f>
        <v>5559.46</v>
      </c>
      <c r="I531" s="18">
        <v>378.54</v>
      </c>
      <c r="J531" s="18" t="s">
        <v>287</v>
      </c>
      <c r="K531" s="18"/>
      <c r="L531" s="88">
        <f>SUM(F531:K531)</f>
        <v>142271.94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27176.27+15337.49</f>
        <v>42513.760000000002</v>
      </c>
      <c r="G532" s="18">
        <f>14760.58+7034.13</f>
        <v>21794.71</v>
      </c>
      <c r="H532" s="18">
        <f>632.31+1762.3+227.74</f>
        <v>2622.3499999999995</v>
      </c>
      <c r="I532" s="18">
        <v>178.56</v>
      </c>
      <c r="J532" s="18"/>
      <c r="K532" s="18"/>
      <c r="L532" s="88">
        <f>SUM(F532:K532)</f>
        <v>67109.38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23915.12+13496.99</f>
        <v>37412.11</v>
      </c>
      <c r="G533" s="18">
        <f>12989.31+6190.03</f>
        <v>19179.34</v>
      </c>
      <c r="H533" s="18">
        <f>556.43+1550.82+200.41</f>
        <v>2307.66</v>
      </c>
      <c r="I533" s="18">
        <v>157.13</v>
      </c>
      <c r="J533" s="18"/>
      <c r="K533" s="18"/>
      <c r="L533" s="88">
        <f>SUM(F533:K533)</f>
        <v>59056.24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170055.03000000003</v>
      </c>
      <c r="G534" s="89">
        <f t="shared" ref="G534:L534" si="38">SUM(G531:G533)</f>
        <v>87178.829999999987</v>
      </c>
      <c r="H534" s="89">
        <f t="shared" si="38"/>
        <v>10489.47</v>
      </c>
      <c r="I534" s="89">
        <f t="shared" si="38"/>
        <v>714.23</v>
      </c>
      <c r="J534" s="89">
        <f t="shared" si="38"/>
        <v>0</v>
      </c>
      <c r="K534" s="89">
        <f t="shared" si="38"/>
        <v>0</v>
      </c>
      <c r="L534" s="89">
        <f t="shared" si="38"/>
        <v>268437.56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426.13</f>
        <v>426.13</v>
      </c>
      <c r="I536" s="18"/>
      <c r="J536" s="18"/>
      <c r="K536" s="18"/>
      <c r="L536" s="88">
        <f>SUM(F536:K536)</f>
        <v>426.13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201.01</v>
      </c>
      <c r="I537" s="18"/>
      <c r="J537" s="18"/>
      <c r="K537" s="18"/>
      <c r="L537" s="88">
        <f>SUM(F537:K537)</f>
        <v>201.01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176.89</v>
      </c>
      <c r="I538" s="18"/>
      <c r="J538" s="18"/>
      <c r="K538" s="18"/>
      <c r="L538" s="88">
        <f>SUM(F538:K538)</f>
        <v>176.89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804.03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804.03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16198.8+4737.78</f>
        <v>20936.579999999998</v>
      </c>
      <c r="I541" s="18"/>
      <c r="J541" s="18"/>
      <c r="K541" s="18"/>
      <c r="L541" s="88">
        <f>SUM(F541:K541)</f>
        <v>20936.579999999998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67453.98</v>
      </c>
      <c r="I542" s="18"/>
      <c r="J542" s="18"/>
      <c r="K542" s="18"/>
      <c r="L542" s="88">
        <f>SUM(F542:K542)</f>
        <v>67453.98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31621.01</v>
      </c>
      <c r="I543" s="18"/>
      <c r="J543" s="18"/>
      <c r="K543" s="18"/>
      <c r="L543" s="88">
        <f>SUM(F543:K543)</f>
        <v>31621.01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120011.56999999999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120011.56999999999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1038308.51</v>
      </c>
      <c r="G545" s="89">
        <f t="shared" ref="G545:L545" si="41">G524+G529+G534+G539+G544</f>
        <v>412253.52999999991</v>
      </c>
      <c r="H545" s="89">
        <f t="shared" si="41"/>
        <v>917060.64</v>
      </c>
      <c r="I545" s="89">
        <f t="shared" si="41"/>
        <v>12818.73</v>
      </c>
      <c r="J545" s="89">
        <f t="shared" si="41"/>
        <v>20028.78</v>
      </c>
      <c r="K545" s="89">
        <f t="shared" si="41"/>
        <v>10065.83</v>
      </c>
      <c r="L545" s="89">
        <f t="shared" si="41"/>
        <v>2410536.0199999996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626238.64999999991</v>
      </c>
      <c r="G549" s="87">
        <f>L526</f>
        <v>394669.17</v>
      </c>
      <c r="H549" s="87">
        <f>L531</f>
        <v>142271.94</v>
      </c>
      <c r="I549" s="87">
        <f>L536</f>
        <v>426.13</v>
      </c>
      <c r="J549" s="87">
        <f>L541</f>
        <v>20936.579999999998</v>
      </c>
      <c r="K549" s="87">
        <f>SUM(F549:J549)</f>
        <v>1184542.4699999997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183734.29</v>
      </c>
      <c r="G550" s="87">
        <f>L527</f>
        <v>120795.41</v>
      </c>
      <c r="H550" s="87">
        <f>L532</f>
        <v>67109.38</v>
      </c>
      <c r="I550" s="87">
        <f>L537</f>
        <v>201.01</v>
      </c>
      <c r="J550" s="87">
        <f>L542</f>
        <v>67453.98</v>
      </c>
      <c r="K550" s="87">
        <f>SUM(F550:J550)</f>
        <v>439294.07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561881.59</v>
      </c>
      <c r="G551" s="87">
        <f>L528</f>
        <v>133963.75000000003</v>
      </c>
      <c r="H551" s="87">
        <f>L533</f>
        <v>59056.24</v>
      </c>
      <c r="I551" s="87">
        <f>L538</f>
        <v>176.89</v>
      </c>
      <c r="J551" s="87">
        <f>L543</f>
        <v>31621.01</v>
      </c>
      <c r="K551" s="87">
        <f>SUM(F551:J551)</f>
        <v>786699.48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1371854.5299999998</v>
      </c>
      <c r="G552" s="89">
        <f t="shared" si="42"/>
        <v>649428.32999999996</v>
      </c>
      <c r="H552" s="89">
        <f t="shared" si="42"/>
        <v>268437.56</v>
      </c>
      <c r="I552" s="89">
        <f t="shared" si="42"/>
        <v>804.03</v>
      </c>
      <c r="J552" s="89">
        <f t="shared" si="42"/>
        <v>120011.56999999999</v>
      </c>
      <c r="K552" s="89">
        <f t="shared" si="42"/>
        <v>2410536.0199999996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2596.1</v>
      </c>
      <c r="H575" s="18"/>
      <c r="I575" s="87">
        <f>SUM(F575:H575)</f>
        <v>2596.1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33018.730000000003</v>
      </c>
      <c r="H579" s="18">
        <v>11106.24</v>
      </c>
      <c r="I579" s="87">
        <f t="shared" si="47"/>
        <v>44124.97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1410</v>
      </c>
      <c r="G582" s="18"/>
      <c r="H582" s="18">
        <v>354609.95</v>
      </c>
      <c r="I582" s="87">
        <f t="shared" si="47"/>
        <v>356019.95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f>4542.64+606.34</f>
        <v>5148.9800000000005</v>
      </c>
      <c r="I584" s="87">
        <f t="shared" si="47"/>
        <v>5148.9800000000005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115118.25+92147.03</f>
        <v>207265.28</v>
      </c>
      <c r="I591" s="18"/>
      <c r="J591" s="18"/>
      <c r="K591" s="104">
        <f t="shared" ref="K591:K597" si="48">SUM(H591:J591)</f>
        <v>207265.28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16198.8+4737.78</f>
        <v>20936.579999999998</v>
      </c>
      <c r="I592" s="18">
        <v>67453.98</v>
      </c>
      <c r="J592" s="18">
        <v>31621.01</v>
      </c>
      <c r="K592" s="104">
        <f t="shared" si="48"/>
        <v>120011.56999999999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32191</v>
      </c>
      <c r="K593" s="104">
        <f t="shared" si="48"/>
        <v>32191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16694</v>
      </c>
      <c r="J594" s="18">
        <v>25041</v>
      </c>
      <c r="K594" s="104">
        <f t="shared" si="48"/>
        <v>41735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143.5+1559.8+1837.35</f>
        <v>3540.6499999999996</v>
      </c>
      <c r="I595" s="18">
        <f>2431.41+424.35</f>
        <v>2855.7599999999998</v>
      </c>
      <c r="J595" s="18">
        <f>3647.13+636.53</f>
        <v>4283.66</v>
      </c>
      <c r="K595" s="104">
        <f t="shared" si="48"/>
        <v>10680.07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231742.50999999998</v>
      </c>
      <c r="I598" s="108">
        <f>SUM(I591:I597)</f>
        <v>87003.739999999991</v>
      </c>
      <c r="J598" s="108">
        <f>SUM(J591:J597)</f>
        <v>93136.67</v>
      </c>
      <c r="K598" s="108">
        <f>SUM(K591:K597)</f>
        <v>411882.92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13097.81+2595.97+824.11+328.98+294.05+556.69+103.5+200+161.14+224.99+7227.92+1534+56.48+7996.71+9000</f>
        <v>44202.35</v>
      </c>
      <c r="I604" s="18">
        <f>7863.36+1027.21+1398.34+115.99+48.3+861.4+105+2329.9+2210.8</f>
        <v>15960.3</v>
      </c>
      <c r="J604" s="18">
        <f>11794.93+557.72+2097.5+173.97+78.2+1285.75+169.99+3494.85+3316.2</f>
        <v>22969.11</v>
      </c>
      <c r="K604" s="104">
        <f>SUM(H604:J604)</f>
        <v>83131.759999999995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44202.35</v>
      </c>
      <c r="I605" s="108">
        <f>SUM(I602:I604)</f>
        <v>15960.3</v>
      </c>
      <c r="J605" s="108">
        <f>SUM(J602:J604)</f>
        <v>22969.11</v>
      </c>
      <c r="K605" s="108">
        <f>SUM(K602:K604)</f>
        <v>83131.759999999995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4492.88+1559.37</f>
        <v>6052.25</v>
      </c>
      <c r="G611" s="18">
        <v>836</v>
      </c>
      <c r="H611" s="18">
        <v>2315.62</v>
      </c>
      <c r="I611" s="18"/>
      <c r="J611" s="18"/>
      <c r="K611" s="18"/>
      <c r="L611" s="88">
        <f>SUM(F611:K611)</f>
        <v>9203.869999999999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6715.56</v>
      </c>
      <c r="G612" s="18">
        <f>510.82+891.16+223</f>
        <v>1624.98</v>
      </c>
      <c r="H612" s="18"/>
      <c r="I612" s="18"/>
      <c r="J612" s="18"/>
      <c r="K612" s="18"/>
      <c r="L612" s="88">
        <f>SUM(F612:K612)</f>
        <v>8340.5400000000009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4107.16</v>
      </c>
      <c r="G613" s="18">
        <f>314.19+516.57+329</f>
        <v>1159.76</v>
      </c>
      <c r="H613" s="18"/>
      <c r="I613" s="18"/>
      <c r="J613" s="18"/>
      <c r="K613" s="18"/>
      <c r="L613" s="88">
        <f>SUM(F613:K613)</f>
        <v>5266.92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16874.97</v>
      </c>
      <c r="G614" s="108">
        <f t="shared" si="49"/>
        <v>3620.74</v>
      </c>
      <c r="H614" s="108">
        <f t="shared" si="49"/>
        <v>2315.62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22811.33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606866.50000000012</v>
      </c>
      <c r="H617" s="109">
        <f>SUM(F52)</f>
        <v>606866.5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22121.86</v>
      </c>
      <c r="H618" s="109">
        <f>SUM(G52)</f>
        <v>22121.859999999997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50284.75</v>
      </c>
      <c r="H619" s="109">
        <f>SUM(H52)</f>
        <v>50284.75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485506.15</v>
      </c>
      <c r="H621" s="109">
        <f>SUM(J52)</f>
        <v>485506.15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522707.95</v>
      </c>
      <c r="H622" s="109">
        <f>F476</f>
        <v>522707.95000000112</v>
      </c>
      <c r="I622" s="121" t="s">
        <v>101</v>
      </c>
      <c r="J622" s="109">
        <f t="shared" ref="J622:J655" si="50">G622-H622</f>
        <v>-1.1059455573558807E-9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-15981.630000000001</v>
      </c>
      <c r="H623" s="109">
        <f>G476</f>
        <v>-15981.629999999976</v>
      </c>
      <c r="I623" s="121" t="s">
        <v>102</v>
      </c>
      <c r="J623" s="109">
        <f t="shared" si="50"/>
        <v>-2.5465851649641991E-11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449.36</v>
      </c>
      <c r="H624" s="109">
        <f>H476</f>
        <v>449.35999999998603</v>
      </c>
      <c r="I624" s="121" t="s">
        <v>103</v>
      </c>
      <c r="J624" s="109">
        <f t="shared" si="50"/>
        <v>1.3983481039758772E-11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-64402.33</v>
      </c>
      <c r="H625" s="109">
        <f>I476</f>
        <v>-64402.33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485506.15</v>
      </c>
      <c r="H626" s="109">
        <f>J476</f>
        <v>485506.15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11212557.130000001</v>
      </c>
      <c r="H627" s="104">
        <f>SUM(F468)</f>
        <v>11212557.130000001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206259.42</v>
      </c>
      <c r="H628" s="104">
        <f>SUM(G468)</f>
        <v>206259.42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313203.01</v>
      </c>
      <c r="H629" s="104">
        <f>SUM(H468)</f>
        <v>313203.01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240578.85</v>
      </c>
      <c r="H631" s="104">
        <f>SUM(J468)</f>
        <v>240578.85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10999391.370000001</v>
      </c>
      <c r="H632" s="104">
        <f>SUM(F472)</f>
        <v>10999391.369999999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313830.89</v>
      </c>
      <c r="H633" s="104">
        <f>SUM(H472)</f>
        <v>313830.89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89762.82</v>
      </c>
      <c r="H634" s="104">
        <f>I369</f>
        <v>89762.819999999992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226604.03</v>
      </c>
      <c r="H635" s="104">
        <f>SUM(G472)</f>
        <v>226604.03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64402.33</v>
      </c>
      <c r="H636" s="104">
        <f>SUM(I472)</f>
        <v>64402.33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240578.85</v>
      </c>
      <c r="H637" s="164">
        <f>SUM(J468)</f>
        <v>240578.85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33084</v>
      </c>
      <c r="H638" s="164">
        <f>SUM(J472)</f>
        <v>33084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485506.15</v>
      </c>
      <c r="H639" s="104">
        <f>SUM(F461)</f>
        <v>485506.15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485506.15</v>
      </c>
      <c r="H642" s="104">
        <f>SUM(I461)</f>
        <v>485506.15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578.85</v>
      </c>
      <c r="H644" s="104">
        <f>H408</f>
        <v>578.85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240000</v>
      </c>
      <c r="H645" s="104">
        <f>G408</f>
        <v>240000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240578.85</v>
      </c>
      <c r="H646" s="104">
        <f>L408</f>
        <v>240578.85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411882.92</v>
      </c>
      <c r="H647" s="104">
        <f>L208+L226+L244</f>
        <v>411882.92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83131.759999999995</v>
      </c>
      <c r="H648" s="104">
        <f>(J257+J338)-(J255+J336)</f>
        <v>83131.760000000009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231742.51</v>
      </c>
      <c r="H649" s="104">
        <f>H598</f>
        <v>231742.50999999998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87003.74</v>
      </c>
      <c r="H650" s="104">
        <f>I598</f>
        <v>87003.739999999991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93136.67</v>
      </c>
      <c r="H651" s="104">
        <f>J598</f>
        <v>93136.67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240000</v>
      </c>
      <c r="H655" s="104">
        <f>K266+K347</f>
        <v>240000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4814414.6800000006</v>
      </c>
      <c r="G660" s="19">
        <f>(L229+L309+L359)</f>
        <v>2397503.91</v>
      </c>
      <c r="H660" s="19">
        <f>(L247+L328+L360)</f>
        <v>3653051.45</v>
      </c>
      <c r="I660" s="19">
        <f>SUM(F660:H660)</f>
        <v>10864970.040000001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48046.01462087324</v>
      </c>
      <c r="G661" s="19">
        <f>(L359/IF(SUM(L358:L360)=0,1,SUM(L358:L360))*(SUM(G97:G110)))</f>
        <v>21597.699144047881</v>
      </c>
      <c r="H661" s="19">
        <f>(L360/IF(SUM(L358:L360)=0,1,SUM(L358:L360))*(SUM(G97:G110)))</f>
        <v>33323.24623507887</v>
      </c>
      <c r="I661" s="19">
        <f>SUM(F661:H661)</f>
        <v>102966.95999999999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231742.51</v>
      </c>
      <c r="G662" s="19">
        <f>(L226+L306)-(J226+J306)</f>
        <v>87003.74</v>
      </c>
      <c r="H662" s="19">
        <f>(L244+L325)-(J244+J325)</f>
        <v>93136.67</v>
      </c>
      <c r="I662" s="19">
        <f>SUM(F662:H662)</f>
        <v>411882.92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54816.22</v>
      </c>
      <c r="G663" s="199">
        <f>SUM(G575:G587)+SUM(I602:I604)+L612</f>
        <v>59915.670000000006</v>
      </c>
      <c r="H663" s="199">
        <f>SUM(H575:H587)+SUM(J602:J604)+L613</f>
        <v>399101.19999999995</v>
      </c>
      <c r="I663" s="19">
        <f>SUM(F663:H663)</f>
        <v>513833.08999999997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4479809.935379127</v>
      </c>
      <c r="G664" s="19">
        <f>G660-SUM(G661:G663)</f>
        <v>2228986.8008559523</v>
      </c>
      <c r="H664" s="19">
        <f>H660-SUM(H661:H663)</f>
        <v>3127490.3337649214</v>
      </c>
      <c r="I664" s="19">
        <f>I660-SUM(I661:I663)</f>
        <v>9836287.0700000003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189.15+62.81</f>
        <v>251.96</v>
      </c>
      <c r="G665" s="248">
        <v>122.9</v>
      </c>
      <c r="H665" s="248">
        <v>203.92</v>
      </c>
      <c r="I665" s="19">
        <f>SUM(F665:H665)</f>
        <v>578.78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17779.849999999999</v>
      </c>
      <c r="G667" s="19">
        <f>ROUND(G664/G665,2)</f>
        <v>18136.59</v>
      </c>
      <c r="H667" s="19">
        <f>ROUND(H664/H665,2)</f>
        <v>15336.85</v>
      </c>
      <c r="I667" s="19">
        <f>ROUND(I664/I665,2)</f>
        <v>16994.86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-4.38</v>
      </c>
      <c r="I670" s="19">
        <f>SUM(F670:H670)</f>
        <v>-4.38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17779.849999999999</v>
      </c>
      <c r="G672" s="19">
        <f>ROUND((G664+G669)/(G665+G670),2)</f>
        <v>18136.59</v>
      </c>
      <c r="H672" s="19">
        <f>ROUND((H664+H669)/(H665+H670),2)</f>
        <v>15673.5</v>
      </c>
      <c r="I672" s="19">
        <f>ROUND((I664+I669)/(I665+I670),2)</f>
        <v>17124.46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Wilton-Lyndeborough Cooperative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3200594.5900000003</v>
      </c>
      <c r="C9" s="229">
        <f>'DOE25'!G197+'DOE25'!G215+'DOE25'!G233+'DOE25'!G276+'DOE25'!G295+'DOE25'!G314</f>
        <v>1383914.8900000001</v>
      </c>
    </row>
    <row r="10" spans="1:3" x14ac:dyDescent="0.2">
      <c r="A10" t="s">
        <v>779</v>
      </c>
      <c r="B10" s="240">
        <f>3030205.8+70625.44</f>
        <v>3100831.2399999998</v>
      </c>
      <c r="C10" s="240">
        <f>1340136.63+6844.19+121</f>
        <v>1347101.8199999998</v>
      </c>
    </row>
    <row r="11" spans="1:3" x14ac:dyDescent="0.2">
      <c r="A11" t="s">
        <v>780</v>
      </c>
      <c r="B11" s="240">
        <v>82779.600000000006</v>
      </c>
      <c r="C11" s="240">
        <f>6002.34+16780.08+10102.63</f>
        <v>32885.050000000003</v>
      </c>
    </row>
    <row r="12" spans="1:3" x14ac:dyDescent="0.2">
      <c r="A12" t="s">
        <v>781</v>
      </c>
      <c r="B12" s="240">
        <f>16679.75+304</f>
        <v>16983.75</v>
      </c>
      <c r="C12" s="240">
        <v>3928.02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3200594.59</v>
      </c>
      <c r="C13" s="231">
        <f>SUM(C10:C12)</f>
        <v>1383914.89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702105.95</v>
      </c>
      <c r="C18" s="229">
        <f>'DOE25'!G198+'DOE25'!G216+'DOE25'!G234+'DOE25'!G277+'DOE25'!G296+'DOE25'!G315</f>
        <v>252190.84999999998</v>
      </c>
    </row>
    <row r="19" spans="1:3" x14ac:dyDescent="0.2">
      <c r="A19" t="s">
        <v>779</v>
      </c>
      <c r="B19" s="240">
        <f>357083.27+16874.97</f>
        <v>373958.24</v>
      </c>
      <c r="C19" s="240">
        <f>169669.43+3620.74+76.05</f>
        <v>173366.21999999997</v>
      </c>
    </row>
    <row r="20" spans="1:3" x14ac:dyDescent="0.2">
      <c r="A20" t="s">
        <v>780</v>
      </c>
      <c r="B20" s="240">
        <f>309066.01+19081.7</f>
        <v>328147.71000000002</v>
      </c>
      <c r="C20" s="240">
        <f>1459.72+75744.89+1620.02</f>
        <v>78824.63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702105.95</v>
      </c>
      <c r="C22" s="231">
        <f>SUM(C19:C21)</f>
        <v>252190.84999999998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70664.5</v>
      </c>
      <c r="C36" s="235">
        <f>'DOE25'!G200+'DOE25'!G218+'DOE25'!G236+'DOE25'!G279+'DOE25'!G298+'DOE25'!G317</f>
        <v>11270.17</v>
      </c>
    </row>
    <row r="37" spans="1:3" x14ac:dyDescent="0.2">
      <c r="A37" t="s">
        <v>779</v>
      </c>
      <c r="B37" s="240">
        <f>2085+10035+4244+2304+7586+3456</f>
        <v>29710</v>
      </c>
      <c r="C37" s="240">
        <v>8137.16</v>
      </c>
    </row>
    <row r="38" spans="1:3" x14ac:dyDescent="0.2">
      <c r="A38" t="s">
        <v>780</v>
      </c>
      <c r="B38" s="240">
        <f>2992.5+466+853</f>
        <v>4311.5</v>
      </c>
      <c r="C38" s="240">
        <f>228.92+100.9</f>
        <v>329.82</v>
      </c>
    </row>
    <row r="39" spans="1:3" x14ac:dyDescent="0.2">
      <c r="A39" t="s">
        <v>781</v>
      </c>
      <c r="B39" s="240">
        <f>544+4159+3184+15887+10327+2542</f>
        <v>36643</v>
      </c>
      <c r="C39" s="240">
        <f>1818.71+194.46+790.02</f>
        <v>2803.19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70664.5</v>
      </c>
      <c r="C40" s="231">
        <f>SUM(C37:C39)</f>
        <v>11270.17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Wilton-Lyndeborough Cooperative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6169225.96</v>
      </c>
      <c r="D5" s="20">
        <f>SUM('DOE25'!L197:L200)+SUM('DOE25'!L215:L218)+SUM('DOE25'!L233:L236)-F5-G5</f>
        <v>6099535.1699999999</v>
      </c>
      <c r="E5" s="243"/>
      <c r="F5" s="255">
        <f>SUM('DOE25'!J197:J200)+SUM('DOE25'!J215:J218)+SUM('DOE25'!J233:J236)</f>
        <v>47410.68</v>
      </c>
      <c r="G5" s="53">
        <f>SUM('DOE25'!K197:K200)+SUM('DOE25'!K215:K218)+SUM('DOE25'!K233:K236)</f>
        <v>22280.11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1054408.6499999999</v>
      </c>
      <c r="D6" s="20">
        <f>'DOE25'!L202+'DOE25'!L220+'DOE25'!L238-F6-G6</f>
        <v>1052294.9099999999</v>
      </c>
      <c r="E6" s="243"/>
      <c r="F6" s="255">
        <f>'DOE25'!J202+'DOE25'!J220+'DOE25'!J238</f>
        <v>850.74</v>
      </c>
      <c r="G6" s="53">
        <f>'DOE25'!K202+'DOE25'!K220+'DOE25'!K238</f>
        <v>1263</v>
      </c>
      <c r="H6" s="259"/>
    </row>
    <row r="7" spans="1:9" x14ac:dyDescent="0.2">
      <c r="A7" s="32">
        <v>2200</v>
      </c>
      <c r="B7" t="s">
        <v>834</v>
      </c>
      <c r="C7" s="245">
        <f t="shared" si="0"/>
        <v>265704.46999999997</v>
      </c>
      <c r="D7" s="20">
        <f>'DOE25'!L203+'DOE25'!L221+'DOE25'!L239-F7-G7</f>
        <v>265684.46999999997</v>
      </c>
      <c r="E7" s="243"/>
      <c r="F7" s="255">
        <f>'DOE25'!J203+'DOE25'!J221+'DOE25'!J239</f>
        <v>0</v>
      </c>
      <c r="G7" s="53">
        <f>'DOE25'!K203+'DOE25'!K221+'DOE25'!K239</f>
        <v>20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432245.81</v>
      </c>
      <c r="D8" s="243"/>
      <c r="E8" s="20">
        <f>'DOE25'!L204+'DOE25'!L222+'DOE25'!L240-F8-G8-D9-D11</f>
        <v>423397.55</v>
      </c>
      <c r="F8" s="255">
        <f>'DOE25'!J204+'DOE25'!J222+'DOE25'!J240</f>
        <v>0</v>
      </c>
      <c r="G8" s="53">
        <f>'DOE25'!K204+'DOE25'!K222+'DOE25'!K240</f>
        <v>8848.26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616264.62</v>
      </c>
      <c r="D12" s="20">
        <f>'DOE25'!L205+'DOE25'!L223+'DOE25'!L241-F12-G12</f>
        <v>604322.51</v>
      </c>
      <c r="E12" s="243"/>
      <c r="F12" s="255">
        <f>'DOE25'!J205+'DOE25'!J223+'DOE25'!J241</f>
        <v>289.95999999999998</v>
      </c>
      <c r="G12" s="53">
        <f>'DOE25'!K205+'DOE25'!K223+'DOE25'!K241</f>
        <v>11652.15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333965.40999999997</v>
      </c>
      <c r="D13" s="243"/>
      <c r="E13" s="20">
        <f>'DOE25'!L206+'DOE25'!L224+'DOE25'!L242-F13-G13</f>
        <v>312261.40999999997</v>
      </c>
      <c r="F13" s="255">
        <f>'DOE25'!J206+'DOE25'!J224+'DOE25'!J242</f>
        <v>230</v>
      </c>
      <c r="G13" s="53">
        <f>'DOE25'!K206+'DOE25'!K224+'DOE25'!K242</f>
        <v>21474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859336.79</v>
      </c>
      <c r="D14" s="20">
        <f>'DOE25'!L207+'DOE25'!L225+'DOE25'!L243-F14-G14</f>
        <v>856328.52</v>
      </c>
      <c r="E14" s="243"/>
      <c r="F14" s="255">
        <f>'DOE25'!J207+'DOE25'!J225+'DOE25'!J243</f>
        <v>3008.27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411882.92</v>
      </c>
      <c r="D15" s="20">
        <f>'DOE25'!L208+'DOE25'!L226+'DOE25'!L244-F15-G15</f>
        <v>411882.92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181500.49</v>
      </c>
      <c r="D16" s="243"/>
      <c r="E16" s="20">
        <f>'DOE25'!L209+'DOE25'!L227+'DOE25'!L245-F16-G16</f>
        <v>174272.56999999998</v>
      </c>
      <c r="F16" s="255">
        <f>'DOE25'!J209+'DOE25'!J227+'DOE25'!J245</f>
        <v>7227.92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434856.25</v>
      </c>
      <c r="D25" s="243"/>
      <c r="E25" s="243"/>
      <c r="F25" s="258"/>
      <c r="G25" s="256"/>
      <c r="H25" s="257">
        <f>'DOE25'!L260+'DOE25'!L261+'DOE25'!L341+'DOE25'!L342</f>
        <v>434856.25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147636.29999999999</v>
      </c>
      <c r="D29" s="20">
        <f>'DOE25'!L358+'DOE25'!L359+'DOE25'!L360-'DOE25'!I367-F29-G29</f>
        <v>145793.75</v>
      </c>
      <c r="E29" s="243"/>
      <c r="F29" s="255">
        <f>'DOE25'!J358+'DOE25'!J359+'DOE25'!J360</f>
        <v>500</v>
      </c>
      <c r="G29" s="53">
        <f>'DOE25'!K358+'DOE25'!K359+'DOE25'!K360</f>
        <v>1342.55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313830.89</v>
      </c>
      <c r="D31" s="20">
        <f>'DOE25'!L290+'DOE25'!L309+'DOE25'!L328+'DOE25'!L333+'DOE25'!L334+'DOE25'!L335-F31-G31</f>
        <v>289667.7</v>
      </c>
      <c r="E31" s="243"/>
      <c r="F31" s="255">
        <f>'DOE25'!J290+'DOE25'!J309+'DOE25'!J328+'DOE25'!J333+'DOE25'!J334+'DOE25'!J335</f>
        <v>24114.190000000002</v>
      </c>
      <c r="G31" s="53">
        <f>'DOE25'!K290+'DOE25'!K309+'DOE25'!K328+'DOE25'!K333+'DOE25'!K334+'DOE25'!K335</f>
        <v>49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9725509.9499999993</v>
      </c>
      <c r="E33" s="246">
        <f>SUM(E5:E31)</f>
        <v>909931.52999999991</v>
      </c>
      <c r="F33" s="246">
        <f>SUM(F5:F31)</f>
        <v>83631.759999999995</v>
      </c>
      <c r="G33" s="246">
        <f>SUM(G5:G31)</f>
        <v>66929.070000000007</v>
      </c>
      <c r="H33" s="246">
        <f>SUM(H5:H31)</f>
        <v>434856.25</v>
      </c>
    </row>
    <row r="35" spans="2:8" ht="12" thickBot="1" x14ac:dyDescent="0.25">
      <c r="B35" s="253" t="s">
        <v>847</v>
      </c>
      <c r="D35" s="254">
        <f>E33</f>
        <v>909931.52999999991</v>
      </c>
      <c r="E35" s="249"/>
    </row>
    <row r="36" spans="2:8" ht="12" thickTop="1" x14ac:dyDescent="0.2">
      <c r="B36" t="s">
        <v>815</v>
      </c>
      <c r="D36" s="20">
        <f>D33</f>
        <v>9725509.9499999993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pane="bottomLeft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Wilton-Lyndeborough Cooperative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495316.76</v>
      </c>
      <c r="D8" s="95">
        <f>'DOE25'!G9</f>
        <v>18422.95</v>
      </c>
      <c r="E8" s="95">
        <f>'DOE25'!H9</f>
        <v>0</v>
      </c>
      <c r="F8" s="95">
        <f>'DOE25'!I9</f>
        <v>0</v>
      </c>
      <c r="G8" s="95">
        <f>'DOE25'!J9</f>
        <v>485506.15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80734.67</v>
      </c>
      <c r="D11" s="95">
        <f>'DOE25'!G12</f>
        <v>0</v>
      </c>
      <c r="E11" s="95">
        <f>'DOE25'!H12</f>
        <v>0</v>
      </c>
      <c r="F11" s="95" t="str">
        <f>'DOE25'!I12</f>
        <v xml:space="preserve"> 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15090.76</v>
      </c>
      <c r="D12" s="95">
        <f>'DOE25'!G13</f>
        <v>0</v>
      </c>
      <c r="E12" s="95">
        <f>'DOE25'!H13</f>
        <v>50284.75</v>
      </c>
      <c r="F12" s="95" t="str">
        <f>'DOE25'!I13</f>
        <v xml:space="preserve"> 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15724.31</v>
      </c>
      <c r="D13" s="95">
        <f>'DOE25'!G14</f>
        <v>3698.91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 t="str">
        <f>'DOE25'!G18</f>
        <v xml:space="preserve"> 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606866.50000000012</v>
      </c>
      <c r="D18" s="41">
        <f>SUM(D8:D17)</f>
        <v>22121.86</v>
      </c>
      <c r="E18" s="41">
        <f>SUM(E8:E17)</f>
        <v>50284.75</v>
      </c>
      <c r="F18" s="41">
        <f>SUM(F8:F17)</f>
        <v>0</v>
      </c>
      <c r="G18" s="41">
        <f>SUM(G8:G17)</f>
        <v>485506.15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49842.75</v>
      </c>
      <c r="D21" s="95">
        <f>'DOE25'!G22</f>
        <v>39321.22</v>
      </c>
      <c r="E21" s="95">
        <f>'DOE25'!H22</f>
        <v>49835.39</v>
      </c>
      <c r="F21" s="95">
        <f>'DOE25'!I22</f>
        <v>64402.33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 t="str">
        <f>'DOE25'!F23</f>
        <v xml:space="preserve"> </v>
      </c>
      <c r="D22" s="95">
        <f>'DOE25'!G23</f>
        <v>0</v>
      </c>
      <c r="E22" s="95">
        <f>'DOE25'!H23</f>
        <v>0</v>
      </c>
      <c r="F22" s="95" t="str">
        <f>'DOE25'!I23</f>
        <v xml:space="preserve"> 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11423.26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4862.79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18029.75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 t="str">
        <f>'DOE25'!F31</f>
        <v xml:space="preserve"> </v>
      </c>
      <c r="D30" s="95">
        <f>'DOE25'!G31</f>
        <v>-1217.73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84158.55</v>
      </c>
      <c r="D31" s="41">
        <f>SUM(D21:D30)</f>
        <v>38103.49</v>
      </c>
      <c r="E31" s="41">
        <f>SUM(E21:E30)</f>
        <v>49835.39</v>
      </c>
      <c r="F31" s="41">
        <f>SUM(F21:F30)</f>
        <v>64402.33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999.39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-16981.02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 t="str">
        <f>'DOE25'!F43</f>
        <v xml:space="preserve"> 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485506.15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320.95</v>
      </c>
      <c r="D47" s="95" t="str">
        <f>'DOE25'!G48</f>
        <v xml:space="preserve"> </v>
      </c>
      <c r="E47" s="95">
        <f>'DOE25'!H48</f>
        <v>449.36</v>
      </c>
      <c r="F47" s="95">
        <f>'DOE25'!I48</f>
        <v>-64402.33</v>
      </c>
      <c r="G47" s="95">
        <f>'DOE25'!J48</f>
        <v>0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89473</v>
      </c>
      <c r="D48" s="95" t="str">
        <f>'DOE25'!G49</f>
        <v xml:space="preserve"> 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432914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522707.95</v>
      </c>
      <c r="D50" s="41">
        <f>SUM(D34:D49)</f>
        <v>-15981.630000000001</v>
      </c>
      <c r="E50" s="41">
        <f>SUM(E34:E49)</f>
        <v>449.36</v>
      </c>
      <c r="F50" s="41">
        <f>SUM(F34:F49)</f>
        <v>-64402.33</v>
      </c>
      <c r="G50" s="41">
        <f>SUM(G34:G49)</f>
        <v>485506.15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606866.5</v>
      </c>
      <c r="D51" s="41">
        <f>D50+D31</f>
        <v>22121.859999999997</v>
      </c>
      <c r="E51" s="41">
        <f>E50+E31</f>
        <v>50284.75</v>
      </c>
      <c r="F51" s="41">
        <f>F50+F31</f>
        <v>0</v>
      </c>
      <c r="G51" s="41">
        <f>G50+G31</f>
        <v>485506.15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7933015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7800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4341.51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578.85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98955.49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18043.599999999999</v>
      </c>
      <c r="D61" s="95">
        <f>SUM('DOE25'!G98:G110)</f>
        <v>4011.47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30185.11</v>
      </c>
      <c r="D62" s="130">
        <f>SUM(D57:D61)</f>
        <v>102966.96</v>
      </c>
      <c r="E62" s="130">
        <f>SUM(E57:E61)</f>
        <v>0</v>
      </c>
      <c r="F62" s="130">
        <f>SUM(F57:F61)</f>
        <v>0</v>
      </c>
      <c r="G62" s="130">
        <f>SUM(G57:G61)</f>
        <v>578.85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7963200.1100000003</v>
      </c>
      <c r="D63" s="22">
        <f>D56+D62</f>
        <v>102966.96</v>
      </c>
      <c r="E63" s="22">
        <f>E56+E62</f>
        <v>0</v>
      </c>
      <c r="F63" s="22">
        <f>F56+F62</f>
        <v>0</v>
      </c>
      <c r="G63" s="22">
        <f>G56+G62</f>
        <v>578.85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1520741.48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1286544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2807285.48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130000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156208.37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1428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3274.11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287636.37</v>
      </c>
      <c r="D78" s="130">
        <f>SUM(D72:D77)</f>
        <v>3274.11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3094921.85</v>
      </c>
      <c r="D81" s="130">
        <f>SUM(D79:D80)+D78+D70</f>
        <v>3274.11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6777.35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121351.17</v>
      </c>
      <c r="D88" s="95">
        <f>SUM('DOE25'!G153:G161)</f>
        <v>100018.35</v>
      </c>
      <c r="E88" s="95">
        <f>SUM('DOE25'!H153:H161)</f>
        <v>306425.66000000003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121351.17</v>
      </c>
      <c r="D91" s="131">
        <f>SUM(D85:D90)</f>
        <v>100018.35</v>
      </c>
      <c r="E91" s="131">
        <f>SUM(E85:E90)</f>
        <v>313203.01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240000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33084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33084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240000</v>
      </c>
    </row>
    <row r="104" spans="1:7" ht="12.75" thickTop="1" thickBot="1" x14ac:dyDescent="0.25">
      <c r="A104" s="33" t="s">
        <v>765</v>
      </c>
      <c r="C104" s="86">
        <f>C63+C81+C91+C103</f>
        <v>11212557.130000001</v>
      </c>
      <c r="D104" s="86">
        <f>D63+D81+D91+D103</f>
        <v>206259.42</v>
      </c>
      <c r="E104" s="86">
        <f>E63+E81+E91+E103</f>
        <v>313203.01</v>
      </c>
      <c r="F104" s="86">
        <f>F63+F81+F91+F103</f>
        <v>0</v>
      </c>
      <c r="G104" s="86">
        <f>G63+G81+G103</f>
        <v>240578.85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4695294.62</v>
      </c>
      <c r="D109" s="24" t="s">
        <v>289</v>
      </c>
      <c r="E109" s="95">
        <f>('DOE25'!L276)+('DOE25'!L295)+('DOE25'!L314)</f>
        <v>109979.39000000001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1362854.5299999998</v>
      </c>
      <c r="D110" s="24" t="s">
        <v>289</v>
      </c>
      <c r="E110" s="95">
        <f>('DOE25'!L277)+('DOE25'!L296)+('DOE25'!L315)</f>
        <v>30845.160000000003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5690.9800000000005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105385.83</v>
      </c>
      <c r="D112" s="24" t="s">
        <v>289</v>
      </c>
      <c r="E112" s="95">
        <f>+('DOE25'!L279)+('DOE25'!L298)+('DOE25'!L317)</f>
        <v>3221.42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6169225.9600000009</v>
      </c>
      <c r="D115" s="86">
        <f>SUM(D109:D114)</f>
        <v>0</v>
      </c>
      <c r="E115" s="86">
        <f>SUM(E109:E114)</f>
        <v>144045.97000000003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1054408.6499999999</v>
      </c>
      <c r="D118" s="24" t="s">
        <v>289</v>
      </c>
      <c r="E118" s="95">
        <f>+('DOE25'!L281)+('DOE25'!L300)+('DOE25'!L319)</f>
        <v>98535.87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265704.46999999997</v>
      </c>
      <c r="D119" s="24" t="s">
        <v>289</v>
      </c>
      <c r="E119" s="95">
        <f>+('DOE25'!L282)+('DOE25'!L301)+('DOE25'!L320)</f>
        <v>65722.05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432245.81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616264.62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333965.40999999997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859336.79</v>
      </c>
      <c r="D123" s="24" t="s">
        <v>289</v>
      </c>
      <c r="E123" s="95">
        <f>+('DOE25'!L286)+('DOE25'!L305)+('DOE25'!L324)</f>
        <v>5527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411882.92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181500.49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226604.03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4155309.16</v>
      </c>
      <c r="D128" s="86">
        <f>SUM(D118:D127)</f>
        <v>226604.03</v>
      </c>
      <c r="E128" s="86">
        <f>SUM(E118:E127)</f>
        <v>169784.91999999998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64402.33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325000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109856.25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33084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240578.85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-578.85000000000582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674856.25</v>
      </c>
      <c r="D144" s="141">
        <f>SUM(D130:D143)</f>
        <v>0</v>
      </c>
      <c r="E144" s="141">
        <f>SUM(E130:E143)</f>
        <v>0</v>
      </c>
      <c r="F144" s="141">
        <f>SUM(F130:F143)</f>
        <v>64402.33</v>
      </c>
      <c r="G144" s="141">
        <f>SUM(G130:G143)</f>
        <v>33084</v>
      </c>
    </row>
    <row r="145" spans="1:9" ht="12.75" thickTop="1" thickBot="1" x14ac:dyDescent="0.25">
      <c r="A145" s="33" t="s">
        <v>244</v>
      </c>
      <c r="C145" s="86">
        <f>(C115+C128+C144)</f>
        <v>10999391.370000001</v>
      </c>
      <c r="D145" s="86">
        <f>(D115+D128+D144)</f>
        <v>226604.03</v>
      </c>
      <c r="E145" s="86">
        <f>(E115+E128+E144)</f>
        <v>313830.89</v>
      </c>
      <c r="F145" s="86">
        <f>(F115+F128+F144)</f>
        <v>64402.33</v>
      </c>
      <c r="G145" s="86">
        <f>(G115+G128+G144)</f>
        <v>33084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07/99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08/19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6476775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5.2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2255000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2255000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325000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325000</v>
      </c>
    </row>
    <row r="159" spans="1:9" x14ac:dyDescent="0.2">
      <c r="A159" s="22" t="s">
        <v>35</v>
      </c>
      <c r="B159" s="137">
        <f>'DOE25'!F498</f>
        <v>1930000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1930000</v>
      </c>
    </row>
    <row r="160" spans="1:9" x14ac:dyDescent="0.2">
      <c r="A160" s="22" t="s">
        <v>36</v>
      </c>
      <c r="B160" s="137">
        <f>'DOE25'!F499</f>
        <v>302925.25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302925.25</v>
      </c>
    </row>
    <row r="161" spans="1:7" x14ac:dyDescent="0.2">
      <c r="A161" s="22" t="s">
        <v>37</v>
      </c>
      <c r="B161" s="137">
        <f>'DOE25'!F500</f>
        <v>2232925.25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2232925.25</v>
      </c>
    </row>
    <row r="162" spans="1:7" x14ac:dyDescent="0.2">
      <c r="A162" s="22" t="s">
        <v>38</v>
      </c>
      <c r="B162" s="137">
        <f>'DOE25'!F501</f>
        <v>325000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325000</v>
      </c>
    </row>
    <row r="163" spans="1:7" x14ac:dyDescent="0.2">
      <c r="A163" s="22" t="s">
        <v>39</v>
      </c>
      <c r="B163" s="137">
        <f>'DOE25'!F502</f>
        <v>92794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92794</v>
      </c>
    </row>
    <row r="164" spans="1:7" x14ac:dyDescent="0.2">
      <c r="A164" s="22" t="s">
        <v>246</v>
      </c>
      <c r="B164" s="137">
        <f>'DOE25'!F503</f>
        <v>417794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417794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7" workbookViewId="0"/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Wilton-Lyndeborough Cooperative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17780</v>
      </c>
    </row>
    <row r="5" spans="1:4" x14ac:dyDescent="0.2">
      <c r="B5" t="s">
        <v>704</v>
      </c>
      <c r="C5" s="179">
        <f>IF('DOE25'!G665+'DOE25'!G670=0,0,ROUND('DOE25'!G672,0))</f>
        <v>18137</v>
      </c>
    </row>
    <row r="6" spans="1:4" x14ac:dyDescent="0.2">
      <c r="B6" t="s">
        <v>62</v>
      </c>
      <c r="C6" s="179">
        <f>IF('DOE25'!H665+'DOE25'!H670=0,0,ROUND('DOE25'!H672,0))</f>
        <v>15674</v>
      </c>
    </row>
    <row r="7" spans="1:4" x14ac:dyDescent="0.2">
      <c r="B7" t="s">
        <v>705</v>
      </c>
      <c r="C7" s="179">
        <f>IF('DOE25'!I665+'DOE25'!I670=0,0,ROUND('DOE25'!I672,0))</f>
        <v>17124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4805274</v>
      </c>
      <c r="D10" s="182">
        <f>ROUND((C10/$C$28)*100,1)</f>
        <v>44.2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1393700</v>
      </c>
      <c r="D11" s="182">
        <f>ROUND((C11/$C$28)*100,1)</f>
        <v>12.8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5691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108607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1152945</v>
      </c>
      <c r="D15" s="182">
        <f t="shared" ref="D15:D27" si="0">ROUND((C15/$C$28)*100,1)</f>
        <v>10.6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331427</v>
      </c>
      <c r="D16" s="182">
        <f t="shared" si="0"/>
        <v>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613746</v>
      </c>
      <c r="D17" s="182">
        <f t="shared" si="0"/>
        <v>5.6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616265</v>
      </c>
      <c r="D18" s="182">
        <f t="shared" si="0"/>
        <v>5.7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333965</v>
      </c>
      <c r="D19" s="182">
        <f t="shared" si="0"/>
        <v>3.1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864864</v>
      </c>
      <c r="D20" s="182">
        <f t="shared" si="0"/>
        <v>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411883</v>
      </c>
      <c r="D21" s="182">
        <f t="shared" si="0"/>
        <v>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109856</v>
      </c>
      <c r="D25" s="182">
        <f t="shared" si="0"/>
        <v>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123637.04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10871860.039999999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64402</v>
      </c>
    </row>
    <row r="30" spans="1:4" x14ac:dyDescent="0.2">
      <c r="B30" s="187" t="s">
        <v>729</v>
      </c>
      <c r="C30" s="180">
        <f>SUM(C28:C29)</f>
        <v>10936262.039999999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325000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7933015</v>
      </c>
      <c r="D35" s="182">
        <f t="shared" ref="D35:D40" si="1">ROUND((C35/$C$41)*100,1)</f>
        <v>68.400000000000006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30763.959999999963</v>
      </c>
      <c r="D36" s="182">
        <f t="shared" si="1"/>
        <v>0.3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2807285</v>
      </c>
      <c r="D37" s="182">
        <f t="shared" si="1"/>
        <v>24.2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290910</v>
      </c>
      <c r="D38" s="182">
        <f t="shared" si="1"/>
        <v>2.5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534573</v>
      </c>
      <c r="D39" s="182">
        <f t="shared" si="1"/>
        <v>4.5999999999999996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11596546.960000001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Wilton-Lyndeborough Cooperative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19</v>
      </c>
      <c r="B4" s="219">
        <v>1</v>
      </c>
      <c r="C4" s="285" t="s">
        <v>914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1</v>
      </c>
      <c r="B5" s="219">
        <v>33</v>
      </c>
      <c r="C5" s="285" t="s">
        <v>913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2014-09-04T17:40:39Z</cp:lastPrinted>
  <dcterms:created xsi:type="dcterms:W3CDTF">1997-12-04T19:04:30Z</dcterms:created>
  <dcterms:modified xsi:type="dcterms:W3CDTF">2014-12-10T16:11:17Z</dcterms:modified>
</cp:coreProperties>
</file>