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0" yWindow="0" windowWidth="20490" windowHeight="919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C45" i="2" l="1"/>
  <c r="G51" i="1"/>
  <c r="F51" i="1"/>
  <c r="G622" i="1" s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L225" i="1"/>
  <c r="L243" i="1"/>
  <c r="F15" i="13"/>
  <c r="G15" i="13"/>
  <c r="L208" i="1"/>
  <c r="L226" i="1"/>
  <c r="L244" i="1"/>
  <c r="L247" i="1" s="1"/>
  <c r="H660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62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/>
  <c r="L611" i="1"/>
  <c r="F663" i="1"/>
  <c r="C40" i="10"/>
  <c r="F60" i="1"/>
  <c r="G60" i="1"/>
  <c r="H60" i="1"/>
  <c r="I60" i="1"/>
  <c r="F79" i="1"/>
  <c r="F94" i="1"/>
  <c r="F111" i="1"/>
  <c r="G111" i="1"/>
  <c r="G112" i="1"/>
  <c r="H79" i="1"/>
  <c r="H94" i="1"/>
  <c r="H111" i="1"/>
  <c r="I111" i="1"/>
  <c r="I112" i="1"/>
  <c r="J111" i="1"/>
  <c r="J112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6" i="10"/>
  <c r="C17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F661" i="1"/>
  <c r="G661" i="1"/>
  <c r="G664" i="1" s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K352" i="1" s="1"/>
  <c r="L521" i="1"/>
  <c r="F549" i="1"/>
  <c r="L522" i="1"/>
  <c r="F550" i="1"/>
  <c r="L523" i="1"/>
  <c r="F551" i="1"/>
  <c r="L526" i="1"/>
  <c r="G549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L537" i="1"/>
  <c r="I550" i="1"/>
  <c r="L538" i="1"/>
  <c r="I551" i="1"/>
  <c r="L541" i="1"/>
  <c r="J549" i="1"/>
  <c r="L542" i="1"/>
  <c r="J550" i="1"/>
  <c r="L543" i="1"/>
  <c r="J551" i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C50" i="2" s="1"/>
  <c r="C51" i="2" s="1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/>
  <c r="C63" i="2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G81" i="2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G103" i="2" s="1"/>
  <c r="G104" i="2" s="1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C115" i="2" s="1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E124" i="2"/>
  <c r="C125" i="2"/>
  <c r="E125" i="2"/>
  <c r="D127" i="2"/>
  <c r="D128" i="2" s="1"/>
  <c r="D145" i="2" s="1"/>
  <c r="F128" i="2"/>
  <c r="G128" i="2"/>
  <c r="C130" i="2"/>
  <c r="E130" i="2"/>
  <c r="F130" i="2"/>
  <c r="F144" i="2" s="1"/>
  <c r="F145" i="2" s="1"/>
  <c r="D134" i="2"/>
  <c r="D144" i="2"/>
  <c r="E13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19" i="1"/>
  <c r="H19" i="1"/>
  <c r="I19" i="1"/>
  <c r="F32" i="1"/>
  <c r="F52" i="1"/>
  <c r="G32" i="1"/>
  <c r="H32" i="1"/>
  <c r="I32" i="1"/>
  <c r="H617" i="1"/>
  <c r="J617" i="1" s="1"/>
  <c r="G52" i="1"/>
  <c r="H618" i="1" s="1"/>
  <c r="J618" i="1" s="1"/>
  <c r="H51" i="1"/>
  <c r="H52" i="1"/>
  <c r="H619" i="1"/>
  <c r="I51" i="1"/>
  <c r="I52" i="1"/>
  <c r="H620" i="1"/>
  <c r="F177" i="1"/>
  <c r="I177" i="1"/>
  <c r="F183" i="1"/>
  <c r="G183" i="1"/>
  <c r="H183" i="1"/>
  <c r="I183" i="1"/>
  <c r="J183" i="1"/>
  <c r="J192" i="1" s="1"/>
  <c r="J193" i="1" s="1"/>
  <c r="F188" i="1"/>
  <c r="G188" i="1"/>
  <c r="H188" i="1"/>
  <c r="I188" i="1"/>
  <c r="F211" i="1"/>
  <c r="G211" i="1"/>
  <c r="G257" i="1" s="1"/>
  <c r="G271" i="1" s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/>
  <c r="J352" i="1"/>
  <c r="K337" i="1"/>
  <c r="K338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/>
  <c r="G636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J476" i="1" s="1"/>
  <c r="H626" i="1" s="1"/>
  <c r="J626" i="1" s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J634" i="1" s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7" i="1"/>
  <c r="G649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K257" i="1"/>
  <c r="K271" i="1"/>
  <c r="I257" i="1"/>
  <c r="I271" i="1"/>
  <c r="G164" i="2"/>
  <c r="C18" i="2"/>
  <c r="C26" i="10"/>
  <c r="L328" i="1"/>
  <c r="L351" i="1"/>
  <c r="L290" i="1"/>
  <c r="A31" i="12"/>
  <c r="C70" i="2"/>
  <c r="D12" i="13"/>
  <c r="C12" i="13" s="1"/>
  <c r="D62" i="2"/>
  <c r="D63" i="2"/>
  <c r="D18" i="13"/>
  <c r="C18" i="13"/>
  <c r="D15" i="13"/>
  <c r="C15" i="13"/>
  <c r="D7" i="13"/>
  <c r="C7" i="13"/>
  <c r="D18" i="2"/>
  <c r="D17" i="13"/>
  <c r="C17" i="13"/>
  <c r="D6" i="13"/>
  <c r="C6" i="13"/>
  <c r="E8" i="13"/>
  <c r="C8" i="13" s="1"/>
  <c r="C91" i="2"/>
  <c r="F78" i="2"/>
  <c r="F81" i="2"/>
  <c r="D31" i="2"/>
  <c r="C78" i="2"/>
  <c r="C81" i="2"/>
  <c r="D50" i="2"/>
  <c r="D51" i="2" s="1"/>
  <c r="G157" i="2"/>
  <c r="F18" i="2"/>
  <c r="G161" i="2"/>
  <c r="G156" i="2"/>
  <c r="E115" i="2"/>
  <c r="E103" i="2"/>
  <c r="D91" i="2"/>
  <c r="E62" i="2"/>
  <c r="E63" i="2"/>
  <c r="E31" i="2"/>
  <c r="G62" i="2"/>
  <c r="D29" i="13"/>
  <c r="C29" i="13"/>
  <c r="D19" i="13"/>
  <c r="C19" i="13"/>
  <c r="D14" i="13"/>
  <c r="C14" i="13" s="1"/>
  <c r="E13" i="13"/>
  <c r="C13" i="13"/>
  <c r="E78" i="2"/>
  <c r="E81" i="2"/>
  <c r="L427" i="1"/>
  <c r="J257" i="1"/>
  <c r="J271" i="1"/>
  <c r="H112" i="1"/>
  <c r="F112" i="1"/>
  <c r="J641" i="1"/>
  <c r="J639" i="1"/>
  <c r="K605" i="1"/>
  <c r="G648" i="1"/>
  <c r="J571" i="1"/>
  <c r="K571" i="1"/>
  <c r="L433" i="1"/>
  <c r="L419" i="1"/>
  <c r="D81" i="2"/>
  <c r="I169" i="1"/>
  <c r="H169" i="1"/>
  <c r="G552" i="1"/>
  <c r="J644" i="1"/>
  <c r="J643" i="1"/>
  <c r="H476" i="1"/>
  <c r="H624" i="1"/>
  <c r="J624" i="1"/>
  <c r="I476" i="1"/>
  <c r="H625" i="1"/>
  <c r="J625" i="1"/>
  <c r="G476" i="1"/>
  <c r="H623" i="1" s="1"/>
  <c r="G338" i="1"/>
  <c r="G352" i="1"/>
  <c r="F169" i="1"/>
  <c r="J140" i="1"/>
  <c r="F571" i="1"/>
  <c r="H257" i="1"/>
  <c r="H271" i="1" s="1"/>
  <c r="I552" i="1"/>
  <c r="K549" i="1"/>
  <c r="K550" i="1"/>
  <c r="G22" i="2"/>
  <c r="K545" i="1"/>
  <c r="J552" i="1"/>
  <c r="H552" i="1"/>
  <c r="C29" i="10"/>
  <c r="H140" i="1"/>
  <c r="L401" i="1"/>
  <c r="C139" i="2" s="1"/>
  <c r="L393" i="1"/>
  <c r="A13" i="12"/>
  <c r="F22" i="13"/>
  <c r="H25" i="13"/>
  <c r="C25" i="13"/>
  <c r="J640" i="1"/>
  <c r="H571" i="1"/>
  <c r="L560" i="1"/>
  <c r="J545" i="1"/>
  <c r="H338" i="1"/>
  <c r="H352" i="1"/>
  <c r="F338" i="1"/>
  <c r="F352" i="1"/>
  <c r="G192" i="1"/>
  <c r="H192" i="1"/>
  <c r="E128" i="2"/>
  <c r="F552" i="1"/>
  <c r="C35" i="10"/>
  <c r="L309" i="1"/>
  <c r="D5" i="13"/>
  <c r="C5" i="13" s="1"/>
  <c r="E16" i="13"/>
  <c r="L570" i="1"/>
  <c r="I571" i="1"/>
  <c r="I545" i="1"/>
  <c r="J636" i="1"/>
  <c r="G36" i="2"/>
  <c r="L565" i="1"/>
  <c r="G545" i="1"/>
  <c r="L545" i="1"/>
  <c r="H545" i="1"/>
  <c r="K551" i="1"/>
  <c r="K552" i="1"/>
  <c r="C22" i="13"/>
  <c r="C138" i="2"/>
  <c r="C16" i="13"/>
  <c r="H33" i="13"/>
  <c r="L337" i="1"/>
  <c r="F62" i="2"/>
  <c r="F63" i="2"/>
  <c r="C23" i="10"/>
  <c r="G163" i="2"/>
  <c r="G162" i="2"/>
  <c r="G160" i="2"/>
  <c r="G159" i="2"/>
  <c r="G158" i="2"/>
  <c r="F103" i="2"/>
  <c r="C103" i="2"/>
  <c r="F91" i="2"/>
  <c r="E50" i="2"/>
  <c r="E51" i="2"/>
  <c r="F31" i="2"/>
  <c r="C31" i="2"/>
  <c r="E18" i="2"/>
  <c r="E144" i="2"/>
  <c r="F50" i="2"/>
  <c r="F51" i="2"/>
  <c r="E145" i="2"/>
  <c r="L338" i="1"/>
  <c r="L352" i="1"/>
  <c r="G633" i="1" s="1"/>
  <c r="J633" i="1" s="1"/>
  <c r="C24" i="10"/>
  <c r="G660" i="1"/>
  <c r="G31" i="13"/>
  <c r="G33" i="13"/>
  <c r="I338" i="1"/>
  <c r="I352" i="1"/>
  <c r="L407" i="1"/>
  <c r="C140" i="2"/>
  <c r="L571" i="1"/>
  <c r="I192" i="1"/>
  <c r="E91" i="2"/>
  <c r="L408" i="1"/>
  <c r="G637" i="1" s="1"/>
  <c r="J654" i="1"/>
  <c r="J653" i="1"/>
  <c r="G21" i="2"/>
  <c r="G31" i="2"/>
  <c r="J32" i="1"/>
  <c r="L434" i="1"/>
  <c r="G638" i="1"/>
  <c r="J638" i="1"/>
  <c r="J434" i="1"/>
  <c r="F434" i="1"/>
  <c r="K434" i="1"/>
  <c r="G134" i="2"/>
  <c r="G144" i="2"/>
  <c r="G145" i="2"/>
  <c r="F31" i="13"/>
  <c r="F104" i="2"/>
  <c r="H193" i="1"/>
  <c r="G629" i="1"/>
  <c r="J629" i="1"/>
  <c r="G169" i="1"/>
  <c r="C39" i="10"/>
  <c r="G140" i="1"/>
  <c r="F140" i="1"/>
  <c r="F193" i="1"/>
  <c r="G627" i="1"/>
  <c r="J627" i="1"/>
  <c r="C36" i="10"/>
  <c r="G63" i="2"/>
  <c r="C5" i="10"/>
  <c r="G42" i="2"/>
  <c r="J51" i="1"/>
  <c r="G16" i="2"/>
  <c r="J19" i="1"/>
  <c r="G621" i="1"/>
  <c r="F33" i="13"/>
  <c r="D31" i="13"/>
  <c r="C31" i="13"/>
  <c r="G18" i="2"/>
  <c r="F545" i="1"/>
  <c r="H434" i="1"/>
  <c r="J620" i="1"/>
  <c r="J619" i="1"/>
  <c r="D103" i="2"/>
  <c r="D104" i="2"/>
  <c r="I140" i="1"/>
  <c r="I193" i="1"/>
  <c r="G630" i="1"/>
  <c r="J630" i="1"/>
  <c r="A22" i="12"/>
  <c r="G50" i="2"/>
  <c r="G51" i="2"/>
  <c r="H648" i="1"/>
  <c r="J648" i="1"/>
  <c r="C104" i="2"/>
  <c r="J652" i="1"/>
  <c r="J642" i="1"/>
  <c r="G571" i="1"/>
  <c r="I434" i="1"/>
  <c r="G434" i="1"/>
  <c r="E104" i="2"/>
  <c r="I663" i="1"/>
  <c r="G193" i="1"/>
  <c r="G628" i="1"/>
  <c r="J628" i="1"/>
  <c r="G626" i="1"/>
  <c r="J52" i="1"/>
  <c r="H621" i="1"/>
  <c r="J621" i="1"/>
  <c r="C38" i="10"/>
  <c r="C41" i="10"/>
  <c r="D38" i="10"/>
  <c r="D37" i="10"/>
  <c r="D36" i="10"/>
  <c r="D35" i="10"/>
  <c r="D40" i="10"/>
  <c r="D39" i="10"/>
  <c r="D41" i="10"/>
  <c r="L257" i="1" l="1"/>
  <c r="L271" i="1" s="1"/>
  <c r="G632" i="1" s="1"/>
  <c r="J651" i="1"/>
  <c r="C124" i="2"/>
  <c r="I662" i="1"/>
  <c r="J647" i="1"/>
  <c r="J649" i="1"/>
  <c r="C128" i="2"/>
  <c r="J622" i="1"/>
  <c r="E33" i="13"/>
  <c r="D35" i="13" s="1"/>
  <c r="G408" i="1"/>
  <c r="H645" i="1" s="1"/>
  <c r="J645" i="1" s="1"/>
  <c r="C141" i="2"/>
  <c r="C144" i="2" s="1"/>
  <c r="J637" i="1"/>
  <c r="H646" i="1"/>
  <c r="G631" i="1"/>
  <c r="J631" i="1" s="1"/>
  <c r="G646" i="1"/>
  <c r="J623" i="1"/>
  <c r="G672" i="1"/>
  <c r="G667" i="1"/>
  <c r="G635" i="1"/>
  <c r="J635" i="1" s="1"/>
  <c r="C27" i="10"/>
  <c r="C28" i="10" s="1"/>
  <c r="I661" i="1"/>
  <c r="H664" i="1"/>
  <c r="H672" i="1" s="1"/>
  <c r="C6" i="10" s="1"/>
  <c r="D33" i="13"/>
  <c r="D36" i="13" s="1"/>
  <c r="F660" i="1"/>
  <c r="C145" i="2" l="1"/>
  <c r="J632" i="1"/>
  <c r="H656" i="1"/>
  <c r="J646" i="1"/>
  <c r="C30" i="10"/>
  <c r="D23" i="10"/>
  <c r="D25" i="10"/>
  <c r="D17" i="10"/>
  <c r="D22" i="10"/>
  <c r="D11" i="10"/>
  <c r="D16" i="10"/>
  <c r="D20" i="10"/>
  <c r="D21" i="10"/>
  <c r="D10" i="10"/>
  <c r="D19" i="10"/>
  <c r="D15" i="10"/>
  <c r="D18" i="10"/>
  <c r="D26" i="10"/>
  <c r="D24" i="10"/>
  <c r="D13" i="10"/>
  <c r="D12" i="10"/>
  <c r="D27" i="10"/>
  <c r="H667" i="1"/>
  <c r="F664" i="1"/>
  <c r="I660" i="1"/>
  <c r="I664" i="1" s="1"/>
  <c r="D28" i="10" l="1"/>
  <c r="I667" i="1"/>
  <c r="I672" i="1"/>
  <c r="C7" i="10" s="1"/>
  <c r="F672" i="1"/>
  <c r="C4" i="10" s="1"/>
  <c r="F667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<sst xmlns="http://schemas.openxmlformats.org/spreadsheetml/2006/main" count="3956" uniqueCount="914">
  <si>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</si>
  <si>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</si>
  <si>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</si>
  <si>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</si>
  <si>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</si>
  <si>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</si>
  <si>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</si>
  <si>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</si>
  <si>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</si>
  <si>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</si>
  <si>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</si>
  <si>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</si>
  <si>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</si>
  <si>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</si>
  <si>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</si>
  <si>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</si>
  <si>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</si>
  <si>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</si>
  <si>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</si>
  <si>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</si>
  <si>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</si>
  <si>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</si>
  <si>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</si>
  <si>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</si>
  <si>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</si>
  <si>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</si>
  <si>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</si>
  <si>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</si>
  <si>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</si>
  <si>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</si>
  <si>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</si>
  <si>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</si>
  <si>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</si>
  <si>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</si>
  <si>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</si>
  <si>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</si>
  <si>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</si>
  <si>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</si>
  <si>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</si>
  <si>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</si>
  <si>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</si>
  <si>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</si>
  <si>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</si>
  <si>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</si>
  <si>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</si>
  <si>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</si>
  <si>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</si>
  <si>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</si>
  <si>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</si>
  <si>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</si>
  <si>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</si>
  <si>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</si>
  <si>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</si>
  <si>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</si>
  <si>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</si>
  <si>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</si>
  <si>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</si>
  <si>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</si>
  <si>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</si>
  <si>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</si>
  <si>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</si>
  <si>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</si>
  <si>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</si>
  <si>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</si>
  <si>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</si>
  <si>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</si>
  <si>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</si>
  <si>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</si>
  <si>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</si>
  <si>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</si>
  <si>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</si>
  <si>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</si>
  <si>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</si>
  <si>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</si>
  <si>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</si>
  <si>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</si>
  <si>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</si>
  <si>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</si>
  <si>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</si>
  <si>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</si>
  <si>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</si>
  <si>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</si>
  <si>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</si>
  <si>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</si>
  <si>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</si>
  <si>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</si>
  <si>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</si>
  <si>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</si>
  <si>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</si>
  <si>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</si>
  <si>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</si>
  <si>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</si>
  <si>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</si>
  <si>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</si>
  <si>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</si>
  <si>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</si>
  <si>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</si>
  <si>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</si>
  <si>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</si>
  <si>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</si>
  <si>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</si>
  <si>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</si>
  <si>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</si>
  <si>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</si>
  <si>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</si>
  <si>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</si>
  <si>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</si>
  <si>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</si>
  <si>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</si>
  <si>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</si>
  <si>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</si>
  <si>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</si>
  <si>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</si>
  <si>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</si>
  <si>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</si>
  <si>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</si>
  <si>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</si>
  <si>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</si>
  <si>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</si>
  <si>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</si>
  <si>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</si>
  <si>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</si>
  <si>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</si>
  <si>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</si>
  <si>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</si>
  <si>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</si>
  <si>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</si>
  <si>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</si>
  <si>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</si>
  <si>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</si>
  <si>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</si>
  <si>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</si>
  <si>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</si>
  <si>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</si>
  <si>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</si>
  <si>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</si>
  <si>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</si>
  <si>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</si>
  <si>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</si>
  <si>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</si>
  <si>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</si>
  <si>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</si>
  <si>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</si>
  <si>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</si>
  <si>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</si>
  <si>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</si>
  <si>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</si>
  <si>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</si>
  <si>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</si>
  <si>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</si>
  <si>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</si>
  <si>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</si>
  <si>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</si>
  <si>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</si>
  <si>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</si>
  <si>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</si>
  <si>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</si>
  <si>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</si>
  <si>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</si>
  <si>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</si>
  <si>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</si>
  <si>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</si>
  <si>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</si>
  <si>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</si>
  <si>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</si>
  <si>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</si>
  <si>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</si>
  <si>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</si>
  <si>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</si>
  <si>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</si>
  <si>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</si>
  <si>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</si>
  <si>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</si>
  <si>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</si>
  <si>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</si>
  <si>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</si>
  <si>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</si>
  <si>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</si>
  <si>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</si>
  <si>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</si>
  <si>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</si>
  <si>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</si>
  <si>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</si>
  <si>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</si>
  <si>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</si>
  <si>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</si>
  <si>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</si>
  <si>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</si>
  <si>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</si>
  <si>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</si>
  <si>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</si>
  <si>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</si>
  <si>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</si>
  <si>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</si>
  <si>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</si>
  <si>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</si>
  <si>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</si>
  <si>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</si>
  <si>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</si>
  <si>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</si>
  <si>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</si>
  <si>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</si>
  <si>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</si>
  <si>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</si>
  <si>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</si>
  <si>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</si>
  <si>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</si>
  <si>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</si>
  <si>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</si>
  <si>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</si>
  <si>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</si>
  <si>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</si>
  <si>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</si>
  <si>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</si>
  <si>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</si>
  <si>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</si>
  <si>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</si>
  <si>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</si>
  <si>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</si>
  <si>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</si>
  <si>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</si>
  <si>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</si>
  <si>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</si>
  <si>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</si>
  <si>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</si>
  <si>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</si>
  <si>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</si>
  <si>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</si>
  <si>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</si>
  <si>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</si>
  <si>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</si>
  <si>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</si>
  <si>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</si>
  <si>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</si>
  <si>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</si>
  <si>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</si>
  <si>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</si>
  <si>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</si>
  <si>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</si>
  <si>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</si>
  <si>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</si>
  <si>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</si>
  <si>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</si>
  <si>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</si>
  <si>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</si>
  <si>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</si>
  <si>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</si>
  <si>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</si>
  <si>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</si>
  <si>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</si>
  <si>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</si>
  <si>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</si>
  <si>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</si>
  <si>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</si>
  <si>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</si>
  <si>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</si>
  <si>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</si>
  <si>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</si>
  <si>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</si>
  <si>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</si>
  <si>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</si>
  <si>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</si>
  <si>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</si>
  <si>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</si>
  <si>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</si>
  <si>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</si>
  <si>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</si>
  <si>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</si>
  <si>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</si>
  <si>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</si>
  <si>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</si>
  <si>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</si>
  <si>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</si>
  <si>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</si>
  <si>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</si>
  <si>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</si>
  <si>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</si>
  <si>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</si>
  <si>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</si>
  <si>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</si>
  <si>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</si>
  <si>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</si>
  <si>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</si>
  <si>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</si>
  <si>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</si>
  <si>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</si>
  <si>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</si>
  <si>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</si>
  <si>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</si>
  <si>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</si>
  <si>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</si>
  <si>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</si>
  <si>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</si>
  <si>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</si>
  <si>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</si>
  <si>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</si>
  <si>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</si>
  <si>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</si>
  <si>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</si>
  <si>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</si>
  <si>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</si>
  <si>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</si>
  <si>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</si>
  <si>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</si>
  <si>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</si>
  <si>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</si>
  <si>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</si>
  <si>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</si>
  <si>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</si>
  <si>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</si>
  <si>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</si>
  <si>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</si>
  <si>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</si>
  <si>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</si>
  <si>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</si>
  <si>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</si>
  <si>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</si>
  <si>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</si>
  <si>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</si>
  <si>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</si>
  <si>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</si>
  <si>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</si>
  <si>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</si>
  <si>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</si>
  <si>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</si>
  <si>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</si>
  <si>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</si>
  <si>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</si>
  <si>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</si>
  <si>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</si>
  <si>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</si>
  <si>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</si>
  <si>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</si>
  <si>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</si>
  <si>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</si>
  <si>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</si>
  <si>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</si>
  <si>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</si>
  <si>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</si>
  <si>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</si>
  <si>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</si>
  <si>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</si>
  <si>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</si>
  <si>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</si>
  <si>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</si>
  <si>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</si>
  <si>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</si>
  <si>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</si>
  <si>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</si>
  <si>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</si>
  <si>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</si>
  <si>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</si>
  <si>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</si>
  <si>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</si>
  <si>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</si>
  <si>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</si>
  <si>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</si>
  <si>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</si>
  <si>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</si>
  <si>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</si>
  <si>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</si>
  <si>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</si>
  <si>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</si>
  <si>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</si>
  <si>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</si>
  <si>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</si>
  <si>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</si>
  <si>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</si>
  <si>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</si>
  <si>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</si>
  <si>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</si>
  <si>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</si>
  <si>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</si>
  <si>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</si>
  <si>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</si>
  <si>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</si>
  <si>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</si>
  <si>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</si>
  <si>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</si>
  <si>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</si>
  <si>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</si>
  <si>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</si>
  <si>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</si>
  <si>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</si>
  <si>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</si>
  <si>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</si>
  <si>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</si>
  <si>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</si>
  <si>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</si>
  <si>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</si>
  <si>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</si>
  <si>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</si>
  <si>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</si>
  <si>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</si>
  <si>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</si>
  <si>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</si>
  <si>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</si>
  <si>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</si>
  <si>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</si>
  <si>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</si>
  <si>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</si>
  <si>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</si>
  <si>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</si>
  <si>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</si>
  <si>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</si>
  <si>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</si>
  <si>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</si>
  <si>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</si>
  <si>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</si>
  <si>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</si>
  <si>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</si>
  <si>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</si>
  <si>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</si>
  <si>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</si>
  <si>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</si>
  <si>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</si>
  <si>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</si>
  <si>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</si>
  <si>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</si>
  <si>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</si>
  <si>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</si>
  <si>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</si>
  <si>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</si>
  <si>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</si>
  <si>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</si>
  <si>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</si>
  <si>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</si>
  <si>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</si>
  <si>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</si>
  <si>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</si>
  <si>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</si>
  <si>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</si>
  <si>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</si>
  <si>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</si>
  <si>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</si>
  <si>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</si>
  <si>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</si>
  <si>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</si>
  <si>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</si>
  <si>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</si>
  <si>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</si>
  <si>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</si>
  <si>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</si>
  <si>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</si>
  <si>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</si>
  <si>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</si>
  <si>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</si>
  <si>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</si>
  <si>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</si>
  <si>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</si>
  <si>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</si>
  <si>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</si>
  <si>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</si>
  <si>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</si>
  <si>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</si>
  <si>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</si>
  <si>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</si>
  <si>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</si>
  <si>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</si>
  <si>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</si>
  <si>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</si>
  <si>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</si>
  <si>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</si>
  <si>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</si>
  <si>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</si>
  <si>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</si>
  <si>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</si>
  <si>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</si>
  <si>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</si>
  <si>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</si>
  <si>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</si>
  <si>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</si>
  <si>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</si>
  <si>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</si>
  <si>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</si>
  <si>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</si>
  <si>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</si>
  <si>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</si>
  <si>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</si>
  <si>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</si>
  <si>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</si>
  <si>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</si>
  <si>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</si>
  <si>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</si>
  <si>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</si>
  <si>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</si>
  <si>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</si>
  <si>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</si>
  <si>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</si>
  <si>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</si>
  <si>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</si>
  <si>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</si>
  <si>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</si>
  <si>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</si>
  <si>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</si>
  <si>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</si>
  <si>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</si>
  <si>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</si>
  <si>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</si>
  <si>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</si>
  <si>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</si>
  <si>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</si>
  <si>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</si>
  <si>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</si>
  <si>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</si>
  <si>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</si>
  <si>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</si>
  <si>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</si>
  <si>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</si>
  <si>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</si>
  <si>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</si>
  <si>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</si>
  <si>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</si>
  <si>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</si>
  <si>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</si>
  <si>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</si>
  <si>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</si>
  <si>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</si>
  <si>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</si>
  <si>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</si>
  <si>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</si>
  <si>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</si>
  <si>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</si>
  <si>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</si>
  <si>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</si>
  <si>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</si>
  <si>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</si>
  <si>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</si>
  <si>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</si>
  <si>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</si>
  <si>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</si>
  <si>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</si>
  <si>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</si>
  <si>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</si>
  <si>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</si>
  <si>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</si>
  <si>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</si>
  <si>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</si>
  <si>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</si>
  <si>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</si>
  <si>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</si>
  <si>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</si>
  <si>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</si>
  <si>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</si>
  <si>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</si>
  <si>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</si>
  <si>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</si>
  <si>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</si>
  <si>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</si>
  <si>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</si>
  <si>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</si>
  <si>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</si>
  <si>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</si>
  <si>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</si>
  <si>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</si>
  <si>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</si>
  <si>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</si>
  <si>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</si>
  <si>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</si>
  <si>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</si>
  <si>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</si>
  <si>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</si>
  <si>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</si>
  <si>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</si>
  <si>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</si>
  <si>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</si>
  <si>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</si>
  <si>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</si>
  <si>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</si>
  <si>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</si>
  <si>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</si>
  <si>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</si>
  <si>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</si>
  <si>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</si>
  <si>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</si>
  <si>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</si>
  <si>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</si>
  <si>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</si>
  <si>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</si>
  <si>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</si>
  <si>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</si>
  <si>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</si>
  <si>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</si>
  <si>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</si>
  <si>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</si>
  <si>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</si>
  <si>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</si>
  <si>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</si>
  <si>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</si>
  <si>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</si>
  <si>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</si>
  <si>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</si>
  <si>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</si>
  <si>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</si>
  <si>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</si>
  <si>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</si>
  <si>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</si>
  <si>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</si>
  <si>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</si>
  <si>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</si>
  <si>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</si>
  <si>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</si>
  <si>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</si>
  <si>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</si>
  <si>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</si>
  <si>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</si>
  <si>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</si>
  <si>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</si>
  <si>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</si>
  <si>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</si>
  <si>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</si>
  <si>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</si>
  <si>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</si>
  <si>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</si>
  <si>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</si>
  <si>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</si>
  <si>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</si>
  <si>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</si>
  <si>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</si>
  <si>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</si>
  <si>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</si>
  <si>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</si>
  <si>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</si>
  <si>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</si>
  <si>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</si>
  <si>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</si>
  <si>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</si>
  <si>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</si>
  <si>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</si>
  <si>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</si>
  <si>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</si>
  <si>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</si>
  <si>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</si>
  <si>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</si>
  <si>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</si>
  <si>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</si>
  <si>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</si>
  <si>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</si>
  <si>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</si>
  <si>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</si>
  <si>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</si>
  <si>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</si>
  <si>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</si>
  <si>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</si>
  <si>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</si>
  <si>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</si>
  <si>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</si>
  <si>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</si>
  <si>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</si>
  <si>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</si>
  <si>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</si>
  <si>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</si>
  <si>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</si>
  <si>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</si>
  <si>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</si>
  <si>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</si>
  <si>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</si>
  <si>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</si>
  <si>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</si>
  <si>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</si>
  <si>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</si>
  <si>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</si>
  <si>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</si>
  <si>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</si>
  <si>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</si>
  <si>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</si>
  <si>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</si>
  <si>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</si>
  <si>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</si>
  <si>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</si>
  <si>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</si>
  <si>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</si>
  <si>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</si>
  <si>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</si>
  <si>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</si>
  <si>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</si>
  <si>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</si>
  <si>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</si>
  <si>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</si>
  <si>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</si>
  <si>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</si>
  <si>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</si>
  <si>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</si>
  <si>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</si>
  <si>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</si>
  <si>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</si>
  <si>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</si>
  <si>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</si>
  <si>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</si>
  <si>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</si>
  <si>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</si>
  <si>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</si>
  <si>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</si>
  <si>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</si>
  <si>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</si>
  <si>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</si>
  <si>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</si>
  <si>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</si>
  <si>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</si>
  <si>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</si>
  <si>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</si>
  <si>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</si>
  <si>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</si>
  <si>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</si>
  <si>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</si>
  <si>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</si>
  <si>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</si>
  <si>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</si>
  <si>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</si>
  <si>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</si>
  <si>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</si>
  <si>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</si>
  <si>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</si>
  <si>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</si>
  <si>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</si>
  <si>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</si>
  <si>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</si>
  <si>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</si>
  <si>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</si>
  <si>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</si>
  <si>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</si>
  <si>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</si>
  <si>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</si>
  <si>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</si>
  <si>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</si>
  <si>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</si>
  <si>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</si>
  <si>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</si>
  <si>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</si>
  <si>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</si>
  <si>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</si>
  <si>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</si>
  <si>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</si>
  <si>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</si>
  <si>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</si>
  <si>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</si>
  <si>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</si>
  <si>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</si>
  <si>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</si>
  <si>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</si>
  <si>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</si>
  <si>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</si>
  <si>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</si>
  <si>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</si>
  <si>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</si>
  <si>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</si>
  <si>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</si>
  <si>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</si>
  <si>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</si>
  <si>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</si>
  <si>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</si>
  <si>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</si>
  <si>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</si>
  <si>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</si>
  <si>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</si>
  <si>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</si>
  <si>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</si>
  <si>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</si>
  <si>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</si>
  <si>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</si>
  <si>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</si>
  <si>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</si>
  <si>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</si>
  <si>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</si>
  <si>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</si>
  <si>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</si>
  <si>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</si>
  <si>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</si>
  <si>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</si>
  <si>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</si>
  <si>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</si>
  <si>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</si>
  <si>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</si>
  <si>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</si>
  <si>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</si>
  <si>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</si>
  <si>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</si>
  <si>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</si>
  <si>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</si>
  <si>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</si>
  <si>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</si>
  <si>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</si>
  <si>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</si>
  <si>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</si>
  <si>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</si>
  <si>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</si>
  <si>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</si>
  <si>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</si>
  <si>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</si>
  <si>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</si>
  <si>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</si>
  <si>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</si>
  <si>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</si>
  <si>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</si>
  <si>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</si>
  <si>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</si>
  <si>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</si>
  <si>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</si>
  <si>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</si>
  <si>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</si>
  <si>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</si>
  <si>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</si>
  <si>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</si>
  <si>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</si>
  <si>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</si>
  <si>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</si>
  <si>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</si>
  <si>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</si>
  <si>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</si>
  <si>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</si>
  <si>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</si>
  <si>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</si>
  <si>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</si>
  <si>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</si>
  <si>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</si>
  <si>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</si>
  <si>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</si>
  <si>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</si>
  <si>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</si>
  <si>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</si>
  <si>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</si>
  <si>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</si>
  <si>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</si>
  <si>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</si>
  <si>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</si>
  <si>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</si>
  <si>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</si>
  <si>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</si>
  <si>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</si>
  <si>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</si>
  <si>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</si>
  <si>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</si>
  <si>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</si>
  <si>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</si>
  <si>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</si>
  <si>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</si>
  <si>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</si>
  <si>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</si>
  <si>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</si>
  <si>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</si>
  <si>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</si>
  <si>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</si>
  <si>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</si>
  <si>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</si>
  <si>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</si>
  <si>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</si>
  <si>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</si>
  <si>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</si>
  <si>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</si>
  <si>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</si>
  <si>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</si>
  <si>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</si>
  <si>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</si>
  <si>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</si>
  <si>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</si>
  <si>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</si>
  <si>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</si>
  <si>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</si>
  <si>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</si>
  <si>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</si>
  <si>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</si>
  <si>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</si>
  <si>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</si>
  <si>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</si>
  <si>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</si>
  <si>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</si>
  <si>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</si>
  <si>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</si>
  <si>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</si>
  <si>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</si>
  <si>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</si>
  <si>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</si>
  <si>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</si>
  <si>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</si>
  <si>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</si>
  <si>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</si>
  <si>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</si>
  <si>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</si>
  <si>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</si>
  <si>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</si>
  <si>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</si>
  <si>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</si>
  <si>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</si>
  <si>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</si>
  <si>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</si>
  <si>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</si>
  <si>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</si>
  <si>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</si>
  <si>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</si>
  <si>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</si>
  <si>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</si>
  <si>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</si>
  <si>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</si>
  <si>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</si>
  <si>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</si>
  <si>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</si>
  <si>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</si>
  <si>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</si>
  <si>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</si>
  <si>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</si>
  <si>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</si>
  <si>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</si>
  <si>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</si>
  <si>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</si>
  <si>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</si>
  <si>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</si>
  <si>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</si>
  <si>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</si>
  <si>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</si>
  <si>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</si>
  <si>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</si>
  <si>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08/03</t>
  </si>
  <si>
    <t>08/23</t>
  </si>
  <si>
    <t>Winchester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</si>
</sst>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593" activePane="bottomRight" state="frozen"/>
      <selection activeCell="F482" sqref="F482"/>
      <selection pane="topRight" activeCell="F482" sqref="F482"/>
      <selection pane="bottomLeft" activeCell="F482" sqref="F482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573</v>
      </c>
      <c r="C2" s="21">
        <v>573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447410.69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441807.72</v>
      </c>
      <c r="G12" s="18">
        <v>74767.259999999995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16483.169999999998</v>
      </c>
      <c r="H13" s="18">
        <v>392134.83</v>
      </c>
      <c r="I13" s="18"/>
      <c r="J13" s="67">
        <f>SUM(I442)</f>
        <v>306193.21999999997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61746.41</v>
      </c>
      <c r="G14" s="18">
        <v>2286.0500000000002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10276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950964.82</v>
      </c>
      <c r="G19" s="41">
        <f>SUM(G9:G18)</f>
        <v>103812.48</v>
      </c>
      <c r="H19" s="41">
        <f>SUM(H9:H18)</f>
        <v>392134.83</v>
      </c>
      <c r="I19" s="41">
        <f>SUM(I9:I18)</f>
        <v>0</v>
      </c>
      <c r="J19" s="41">
        <f>SUM(J9:J18)</f>
        <v>306193.21999999997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69018.36</v>
      </c>
      <c r="G24" s="18">
        <v>1778.7</v>
      </c>
      <c r="H24" s="18">
        <v>473.05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286462.18</v>
      </c>
      <c r="G28" s="18"/>
      <c r="H28" s="18">
        <v>17303.37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355480.54</v>
      </c>
      <c r="G32" s="41">
        <f>SUM(G22:G31)</f>
        <v>1778.7</v>
      </c>
      <c r="H32" s="41">
        <f>SUM(H22:H31)</f>
        <v>17776.419999999998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102033.78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374358.41</v>
      </c>
      <c r="I48" s="18"/>
      <c r="J48" s="13">
        <f>SUM(I459)</f>
        <v>306193.21999999997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357732.29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237751.99-50000</f>
        <v>187751.99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595484.28</v>
      </c>
      <c r="G51" s="41">
        <f>SUM(G35:G50)</f>
        <v>102033.78</v>
      </c>
      <c r="H51" s="41">
        <f>SUM(H35:H50)</f>
        <v>374358.41</v>
      </c>
      <c r="I51" s="41">
        <f>SUM(I35:I50)</f>
        <v>0</v>
      </c>
      <c r="J51" s="41">
        <f>SUM(J35:J50)</f>
        <v>306193.21999999997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950964.82000000007</v>
      </c>
      <c r="G52" s="41">
        <f>G51+G32</f>
        <v>103812.48</v>
      </c>
      <c r="H52" s="41">
        <f>H51+H32</f>
        <v>392134.82999999996</v>
      </c>
      <c r="I52" s="41">
        <f>I51+I32</f>
        <v>0</v>
      </c>
      <c r="J52" s="41">
        <f>J51+J32</f>
        <v>306193.21999999997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4622865.22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4622865.22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10271.35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31831.23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42102.58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24.93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41212.980000000003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5692.5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765.8</v>
      </c>
      <c r="G102" s="18"/>
      <c r="H102" s="18">
        <v>1501.5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29883.85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125640.32000000001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213.1</v>
      </c>
      <c r="G110" s="18">
        <v>2565.17</v>
      </c>
      <c r="H110" s="18">
        <v>17823.419999999998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162195.57</v>
      </c>
      <c r="G111" s="41">
        <f>SUM(G96:G110)</f>
        <v>43778.15</v>
      </c>
      <c r="H111" s="41">
        <f>SUM(H96:H110)</f>
        <v>19324.919999999998</v>
      </c>
      <c r="I111" s="41">
        <f>SUM(I96:I110)</f>
        <v>0</v>
      </c>
      <c r="J111" s="41">
        <f>SUM(J96:J110)</f>
        <v>24.93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4827163.37</v>
      </c>
      <c r="G112" s="41">
        <f>G60+G111</f>
        <v>43778.15</v>
      </c>
      <c r="H112" s="41">
        <f>H60+H79+H94+H111</f>
        <v>19324.919999999998</v>
      </c>
      <c r="I112" s="41">
        <f>I60+I111</f>
        <v>0</v>
      </c>
      <c r="J112" s="41">
        <f>J60+J111</f>
        <v>24.93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4180846.64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700765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4881611.6400000006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61928.160000000003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165086.57999999999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4110.97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227014.74</v>
      </c>
      <c r="G136" s="41">
        <f>SUM(G123:G135)</f>
        <v>4110.97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>
        <v>3375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5108626.3800000008</v>
      </c>
      <c r="G140" s="41">
        <f>G121+SUM(G136:G137)</f>
        <v>4110.97</v>
      </c>
      <c r="H140" s="41">
        <f>H121+SUM(H136:H139)</f>
        <v>3375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121375.89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317545.26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232218.39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230214.49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159493.43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148820.81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148820.81</v>
      </c>
      <c r="G162" s="41">
        <f>SUM(G150:G161)</f>
        <v>230214.49</v>
      </c>
      <c r="H162" s="41">
        <f>SUM(H150:H161)</f>
        <v>830632.97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148820.81</v>
      </c>
      <c r="G169" s="41">
        <f>G147+G162+SUM(G163:G168)</f>
        <v>230214.49</v>
      </c>
      <c r="H169" s="41">
        <f>H147+H162+SUM(H163:H168)</f>
        <v>830632.97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125000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125000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125000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10084610.560000001</v>
      </c>
      <c r="G193" s="47">
        <f>G112+G140+G169+G192</f>
        <v>278103.61</v>
      </c>
      <c r="H193" s="47">
        <f>H112+H140+H169+H192</f>
        <v>853332.89</v>
      </c>
      <c r="I193" s="47">
        <f>I112+I140+I169+I192</f>
        <v>0</v>
      </c>
      <c r="J193" s="47">
        <f>J112+J140+J192</f>
        <v>125024.93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1279054.43</v>
      </c>
      <c r="G197" s="18">
        <v>739833.88</v>
      </c>
      <c r="H197" s="18">
        <v>2209</v>
      </c>
      <c r="I197" s="18">
        <v>56839.05</v>
      </c>
      <c r="J197" s="18">
        <v>587.62</v>
      </c>
      <c r="K197" s="18">
        <v>187</v>
      </c>
      <c r="L197" s="19">
        <f>SUM(F197:K197)</f>
        <v>2078710.9800000002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1042134.14</v>
      </c>
      <c r="G198" s="18">
        <v>306635.96999999997</v>
      </c>
      <c r="H198" s="18">
        <v>635565.99</v>
      </c>
      <c r="I198" s="18">
        <v>3979.24</v>
      </c>
      <c r="J198" s="18"/>
      <c r="K198" s="18"/>
      <c r="L198" s="19">
        <f>SUM(F198:K198)</f>
        <v>1988315.3399999999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31344.14</v>
      </c>
      <c r="G200" s="18">
        <v>13664.37</v>
      </c>
      <c r="H200" s="18">
        <v>2390</v>
      </c>
      <c r="I200" s="18">
        <v>693</v>
      </c>
      <c r="J200" s="18"/>
      <c r="K200" s="18"/>
      <c r="L200" s="19">
        <f>SUM(F200:K200)</f>
        <v>48091.51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265626.90999999997</v>
      </c>
      <c r="G202" s="18">
        <v>175165.47</v>
      </c>
      <c r="H202" s="18">
        <v>74.92</v>
      </c>
      <c r="I202" s="18">
        <v>2705.14</v>
      </c>
      <c r="J202" s="18">
        <v>4174.09</v>
      </c>
      <c r="K202" s="18"/>
      <c r="L202" s="19">
        <f t="shared" ref="L202:L208" si="0">SUM(F202:K202)</f>
        <v>447746.53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67089.83</v>
      </c>
      <c r="G203" s="18">
        <v>48834.57</v>
      </c>
      <c r="H203" s="18">
        <v>13050</v>
      </c>
      <c r="I203" s="18">
        <v>6714.17</v>
      </c>
      <c r="J203" s="18"/>
      <c r="K203" s="18"/>
      <c r="L203" s="19">
        <f t="shared" si="0"/>
        <v>135688.57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96980.05</v>
      </c>
      <c r="G204" s="18">
        <v>92858.99</v>
      </c>
      <c r="H204" s="18">
        <v>14674.64</v>
      </c>
      <c r="I204" s="18">
        <v>15393.09</v>
      </c>
      <c r="J204" s="18">
        <v>1949.66</v>
      </c>
      <c r="K204" s="18">
        <v>8422.7800000000007</v>
      </c>
      <c r="L204" s="19">
        <f t="shared" si="0"/>
        <v>230279.21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136303.32999999999</v>
      </c>
      <c r="G205" s="18">
        <v>107958.32</v>
      </c>
      <c r="H205" s="18">
        <v>2935.16</v>
      </c>
      <c r="I205" s="18">
        <v>806.27</v>
      </c>
      <c r="J205" s="18"/>
      <c r="K205" s="18">
        <v>314</v>
      </c>
      <c r="L205" s="19">
        <f t="shared" si="0"/>
        <v>248317.08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78594.19</v>
      </c>
      <c r="G206" s="18">
        <v>35164.629999999997</v>
      </c>
      <c r="H206" s="18"/>
      <c r="I206" s="18"/>
      <c r="J206" s="18"/>
      <c r="K206" s="18"/>
      <c r="L206" s="19">
        <f t="shared" si="0"/>
        <v>113758.82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164959.28</v>
      </c>
      <c r="G207" s="18">
        <v>82794.039999999994</v>
      </c>
      <c r="H207" s="18">
        <v>162624.85999999999</v>
      </c>
      <c r="I207" s="18">
        <v>200292.96</v>
      </c>
      <c r="J207" s="18">
        <v>15231.99</v>
      </c>
      <c r="K207" s="18"/>
      <c r="L207" s="19">
        <f t="shared" si="0"/>
        <v>625903.13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3906.6</v>
      </c>
      <c r="G208" s="18">
        <v>298.86</v>
      </c>
      <c r="H208" s="18">
        <v>329907.17</v>
      </c>
      <c r="I208" s="18"/>
      <c r="J208" s="18"/>
      <c r="K208" s="18"/>
      <c r="L208" s="19">
        <f t="shared" si="0"/>
        <v>334112.63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93191.59</v>
      </c>
      <c r="I209" s="18">
        <v>21349.39</v>
      </c>
      <c r="J209" s="18">
        <v>18880.12</v>
      </c>
      <c r="K209" s="18"/>
      <c r="L209" s="19">
        <f>SUM(F209:K209)</f>
        <v>133421.1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3165992.9</v>
      </c>
      <c r="G211" s="41">
        <f t="shared" si="1"/>
        <v>1603209.1</v>
      </c>
      <c r="H211" s="41">
        <f t="shared" si="1"/>
        <v>1256623.33</v>
      </c>
      <c r="I211" s="41">
        <f t="shared" si="1"/>
        <v>308772.31</v>
      </c>
      <c r="J211" s="41">
        <f t="shared" si="1"/>
        <v>40823.479999999996</v>
      </c>
      <c r="K211" s="41">
        <f t="shared" si="1"/>
        <v>8923.7800000000007</v>
      </c>
      <c r="L211" s="41">
        <f t="shared" si="1"/>
        <v>6384344.9000000004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1604981.9</v>
      </c>
      <c r="I233" s="18"/>
      <c r="J233" s="18"/>
      <c r="K233" s="18"/>
      <c r="L233" s="19">
        <f>SUM(F233:K233)</f>
        <v>1604981.9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1508094.87</v>
      </c>
      <c r="I234" s="18"/>
      <c r="J234" s="18"/>
      <c r="K234" s="18"/>
      <c r="L234" s="19">
        <f>SUM(F234:K234)</f>
        <v>1508094.87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187235.35</v>
      </c>
      <c r="I244" s="18"/>
      <c r="J244" s="18"/>
      <c r="K244" s="18"/>
      <c r="L244" s="19">
        <f t="shared" si="4"/>
        <v>187235.35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3300312.12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3300312.12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3165992.9</v>
      </c>
      <c r="G257" s="41">
        <f t="shared" si="8"/>
        <v>1603209.1</v>
      </c>
      <c r="H257" s="41">
        <f t="shared" si="8"/>
        <v>4556935.45</v>
      </c>
      <c r="I257" s="41">
        <f t="shared" si="8"/>
        <v>308772.31</v>
      </c>
      <c r="J257" s="41">
        <f t="shared" si="8"/>
        <v>40823.479999999996</v>
      </c>
      <c r="K257" s="41">
        <f t="shared" si="8"/>
        <v>8923.7800000000007</v>
      </c>
      <c r="L257" s="41">
        <f t="shared" si="8"/>
        <v>9684657.0199999996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175000</v>
      </c>
      <c r="L260" s="19">
        <f>SUM(F260:K260)</f>
        <v>175000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78682</v>
      </c>
      <c r="L261" s="19">
        <f>SUM(F261:K261)</f>
        <v>78682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125000</v>
      </c>
      <c r="L266" s="19">
        <f t="shared" si="9"/>
        <v>125000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378682</v>
      </c>
      <c r="L270" s="41">
        <f t="shared" si="9"/>
        <v>378682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3165992.9</v>
      </c>
      <c r="G271" s="42">
        <f t="shared" si="11"/>
        <v>1603209.1</v>
      </c>
      <c r="H271" s="42">
        <f t="shared" si="11"/>
        <v>4556935.45</v>
      </c>
      <c r="I271" s="42">
        <f t="shared" si="11"/>
        <v>308772.31</v>
      </c>
      <c r="J271" s="42">
        <f t="shared" si="11"/>
        <v>40823.479999999996</v>
      </c>
      <c r="K271" s="42">
        <f t="shared" si="11"/>
        <v>387605.78</v>
      </c>
      <c r="L271" s="42">
        <f t="shared" si="11"/>
        <v>10063339.02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329239.12</v>
      </c>
      <c r="G276" s="18">
        <v>89323.71</v>
      </c>
      <c r="H276" s="18">
        <v>70.48</v>
      </c>
      <c r="I276" s="18">
        <v>1728.37</v>
      </c>
      <c r="J276" s="18"/>
      <c r="K276" s="18"/>
      <c r="L276" s="19">
        <f>SUM(F276:K276)</f>
        <v>420361.68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35513</v>
      </c>
      <c r="G277" s="18">
        <v>15982.3</v>
      </c>
      <c r="H277" s="18">
        <v>14299.08</v>
      </c>
      <c r="I277" s="18">
        <v>8524.39</v>
      </c>
      <c r="J277" s="18"/>
      <c r="K277" s="18"/>
      <c r="L277" s="19">
        <f>SUM(F277:K277)</f>
        <v>74318.77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14317.5</v>
      </c>
      <c r="G279" s="18">
        <v>5499.34</v>
      </c>
      <c r="H279" s="18">
        <v>95916.54</v>
      </c>
      <c r="I279" s="18">
        <v>16366.42</v>
      </c>
      <c r="J279" s="18"/>
      <c r="K279" s="18"/>
      <c r="L279" s="19">
        <f>SUM(F279:K279)</f>
        <v>132099.79999999999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34461.93</v>
      </c>
      <c r="G281" s="18">
        <v>18827.919999999998</v>
      </c>
      <c r="H281" s="18"/>
      <c r="I281" s="18"/>
      <c r="J281" s="18"/>
      <c r="K281" s="18"/>
      <c r="L281" s="19">
        <f t="shared" ref="L281:L287" si="12">SUM(F281:K281)</f>
        <v>53289.85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66983.77</v>
      </c>
      <c r="G282" s="18">
        <v>34066.31</v>
      </c>
      <c r="H282" s="18">
        <v>18043.88</v>
      </c>
      <c r="I282" s="18">
        <v>2105.58</v>
      </c>
      <c r="J282" s="18"/>
      <c r="K282" s="18"/>
      <c r="L282" s="19">
        <f t="shared" si="12"/>
        <v>121199.54000000001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4404.72</v>
      </c>
      <c r="I287" s="18"/>
      <c r="J287" s="18"/>
      <c r="K287" s="18">
        <v>3050</v>
      </c>
      <c r="L287" s="19">
        <f t="shared" si="12"/>
        <v>7454.72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480515.32</v>
      </c>
      <c r="G290" s="42">
        <f t="shared" si="13"/>
        <v>163699.58000000002</v>
      </c>
      <c r="H290" s="42">
        <f t="shared" si="13"/>
        <v>132734.69999999998</v>
      </c>
      <c r="I290" s="42">
        <f t="shared" si="13"/>
        <v>28724.760000000002</v>
      </c>
      <c r="J290" s="42">
        <f t="shared" si="13"/>
        <v>0</v>
      </c>
      <c r="K290" s="42">
        <f t="shared" si="13"/>
        <v>3050</v>
      </c>
      <c r="L290" s="41">
        <f t="shared" si="13"/>
        <v>808724.36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480515.32</v>
      </c>
      <c r="G338" s="41">
        <f t="shared" si="20"/>
        <v>163699.58000000002</v>
      </c>
      <c r="H338" s="41">
        <f t="shared" si="20"/>
        <v>132734.69999999998</v>
      </c>
      <c r="I338" s="41">
        <f t="shared" si="20"/>
        <v>28724.760000000002</v>
      </c>
      <c r="J338" s="41">
        <f t="shared" si="20"/>
        <v>0</v>
      </c>
      <c r="K338" s="41">
        <f t="shared" si="20"/>
        <v>3050</v>
      </c>
      <c r="L338" s="41">
        <f t="shared" si="20"/>
        <v>808724.36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480515.32</v>
      </c>
      <c r="G352" s="41">
        <f>G338</f>
        <v>163699.58000000002</v>
      </c>
      <c r="H352" s="41">
        <f>H338</f>
        <v>132734.69999999998</v>
      </c>
      <c r="I352" s="41">
        <f>I338</f>
        <v>28724.760000000002</v>
      </c>
      <c r="J352" s="41">
        <f>J338</f>
        <v>0</v>
      </c>
      <c r="K352" s="47">
        <f>K338+K351</f>
        <v>3050</v>
      </c>
      <c r="L352" s="41">
        <f>L338+L351</f>
        <v>808724.36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96868.56</v>
      </c>
      <c r="G358" s="18">
        <v>19800.37</v>
      </c>
      <c r="H358" s="18">
        <v>5159.8999999999996</v>
      </c>
      <c r="I358" s="18">
        <v>141294.14000000001</v>
      </c>
      <c r="J358" s="18">
        <v>267.3</v>
      </c>
      <c r="K358" s="18"/>
      <c r="L358" s="13">
        <f>SUM(F358:K358)</f>
        <v>263390.26999999996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96868.56</v>
      </c>
      <c r="G362" s="47">
        <f t="shared" si="22"/>
        <v>19800.37</v>
      </c>
      <c r="H362" s="47">
        <f t="shared" si="22"/>
        <v>5159.8999999999996</v>
      </c>
      <c r="I362" s="47">
        <f t="shared" si="22"/>
        <v>141294.14000000001</v>
      </c>
      <c r="J362" s="47">
        <f t="shared" si="22"/>
        <v>267.3</v>
      </c>
      <c r="K362" s="47">
        <f t="shared" si="22"/>
        <v>0</v>
      </c>
      <c r="L362" s="47">
        <f t="shared" si="22"/>
        <v>263390.26999999996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103833.07</v>
      </c>
      <c r="G367" s="18"/>
      <c r="H367" s="18"/>
      <c r="I367" s="56">
        <f>SUM(F367:H367)</f>
        <v>103833.07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37461.07</v>
      </c>
      <c r="G368" s="63"/>
      <c r="H368" s="63"/>
      <c r="I368" s="56">
        <f>SUM(F368:H368)</f>
        <v>37461.07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141294.14000000001</v>
      </c>
      <c r="G369" s="47">
        <f>SUM(G367:G368)</f>
        <v>0</v>
      </c>
      <c r="H369" s="47">
        <f>SUM(H367:H368)</f>
        <v>0</v>
      </c>
      <c r="I369" s="47">
        <f>SUM(I367:I368)</f>
        <v>141294.14000000001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25000</v>
      </c>
      <c r="H389" s="18">
        <v>21.72</v>
      </c>
      <c r="I389" s="18"/>
      <c r="J389" s="24" t="s">
        <v>289</v>
      </c>
      <c r="K389" s="24" t="s">
        <v>289</v>
      </c>
      <c r="L389" s="56">
        <f t="shared" si="25"/>
        <v>25021.72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25000</v>
      </c>
      <c r="H393" s="139">
        <f>SUM(H387:H392)</f>
        <v>21.72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25021.72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100000</v>
      </c>
      <c r="H397" s="18">
        <v>3.21</v>
      </c>
      <c r="I397" s="18"/>
      <c r="J397" s="24" t="s">
        <v>289</v>
      </c>
      <c r="K397" s="24" t="s">
        <v>289</v>
      </c>
      <c r="L397" s="56">
        <f t="shared" si="26"/>
        <v>100003.21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100000</v>
      </c>
      <c r="H401" s="47">
        <f>SUM(H395:H400)</f>
        <v>3.21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100003.21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125000</v>
      </c>
      <c r="H408" s="47">
        <f>H393+H401+H407</f>
        <v>24.93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125024.93000000001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202378.05</v>
      </c>
      <c r="G442" s="18">
        <v>103815.17</v>
      </c>
      <c r="H442" s="18"/>
      <c r="I442" s="56">
        <f t="shared" si="33"/>
        <v>306193.21999999997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202378.05</v>
      </c>
      <c r="G446" s="13">
        <f>SUM(G439:G445)</f>
        <v>103815.17</v>
      </c>
      <c r="H446" s="13">
        <f>SUM(H439:H445)</f>
        <v>0</v>
      </c>
      <c r="I446" s="13">
        <f>SUM(I439:I445)</f>
        <v>306193.21999999997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202378.05</v>
      </c>
      <c r="G459" s="18">
        <v>103815.17</v>
      </c>
      <c r="H459" s="18"/>
      <c r="I459" s="56">
        <f t="shared" si="34"/>
        <v>306193.21999999997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202378.05</v>
      </c>
      <c r="G460" s="83">
        <f>SUM(G454:G459)</f>
        <v>103815.17</v>
      </c>
      <c r="H460" s="83">
        <f>SUM(H454:H459)</f>
        <v>0</v>
      </c>
      <c r="I460" s="83">
        <f>SUM(I454:I459)</f>
        <v>306193.21999999997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202378.05</v>
      </c>
      <c r="G461" s="42">
        <f>G452+G460</f>
        <v>103815.17</v>
      </c>
      <c r="H461" s="42">
        <f>H452+H460</f>
        <v>0</v>
      </c>
      <c r="I461" s="42">
        <f>I452+I460</f>
        <v>306193.21999999997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574212.74</v>
      </c>
      <c r="G465" s="18">
        <v>87320.44</v>
      </c>
      <c r="H465" s="18">
        <v>329749.88</v>
      </c>
      <c r="I465" s="18"/>
      <c r="J465" s="18">
        <v>181168.29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10084610.560000001</v>
      </c>
      <c r="G468" s="18">
        <v>278103.61</v>
      </c>
      <c r="H468" s="18">
        <v>853332.89</v>
      </c>
      <c r="I468" s="18"/>
      <c r="J468" s="18">
        <v>125024.93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10084610.560000001</v>
      </c>
      <c r="G470" s="53">
        <f>SUM(G468:G469)</f>
        <v>278103.61</v>
      </c>
      <c r="H470" s="53">
        <f>SUM(H468:H469)</f>
        <v>853332.89</v>
      </c>
      <c r="I470" s="53">
        <f>SUM(I468:I469)</f>
        <v>0</v>
      </c>
      <c r="J470" s="53">
        <f>SUM(J468:J469)</f>
        <v>125024.93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10063339.02</v>
      </c>
      <c r="G472" s="18">
        <v>263390.27</v>
      </c>
      <c r="H472" s="18">
        <v>808724.36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10063339.02</v>
      </c>
      <c r="G474" s="53">
        <f>SUM(G472:G473)</f>
        <v>263390.27</v>
      </c>
      <c r="H474" s="53">
        <f>SUM(H472:H473)</f>
        <v>808724.36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595484.28000000119</v>
      </c>
      <c r="G476" s="53">
        <f>(G465+G470)- G474</f>
        <v>102033.77999999997</v>
      </c>
      <c r="H476" s="53">
        <f>(H465+H470)- H474</f>
        <v>374358.41000000003</v>
      </c>
      <c r="I476" s="53">
        <f>(I465+I470)- I474</f>
        <v>0</v>
      </c>
      <c r="J476" s="53">
        <f>(J465+J470)- J474</f>
        <v>306193.21999999997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3504725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1925000</v>
      </c>
      <c r="G495" s="18"/>
      <c r="H495" s="18"/>
      <c r="I495" s="18"/>
      <c r="J495" s="18"/>
      <c r="K495" s="53">
        <f>SUM(F495:J495)</f>
        <v>1925000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175000</v>
      </c>
      <c r="G497" s="18"/>
      <c r="H497" s="18"/>
      <c r="I497" s="18"/>
      <c r="J497" s="18"/>
      <c r="K497" s="53">
        <f t="shared" si="35"/>
        <v>175000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1750000</v>
      </c>
      <c r="G498" s="204"/>
      <c r="H498" s="204"/>
      <c r="I498" s="204"/>
      <c r="J498" s="204"/>
      <c r="K498" s="205">
        <f t="shared" si="35"/>
        <v>1750000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331751</v>
      </c>
      <c r="G499" s="18"/>
      <c r="H499" s="18"/>
      <c r="I499" s="18"/>
      <c r="J499" s="18"/>
      <c r="K499" s="53">
        <f t="shared" si="35"/>
        <v>331751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2081751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2081751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175000</v>
      </c>
      <c r="G501" s="204"/>
      <c r="H501" s="204"/>
      <c r="I501" s="204"/>
      <c r="J501" s="204"/>
      <c r="K501" s="205">
        <f t="shared" si="35"/>
        <v>175000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66682</v>
      </c>
      <c r="G502" s="18"/>
      <c r="H502" s="18"/>
      <c r="I502" s="18"/>
      <c r="J502" s="18"/>
      <c r="K502" s="53">
        <f t="shared" si="35"/>
        <v>66682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241682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241682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1042134.14</v>
      </c>
      <c r="G521" s="18">
        <v>306635.96999999997</v>
      </c>
      <c r="H521" s="18">
        <v>878026.41</v>
      </c>
      <c r="I521" s="18">
        <v>3979.24</v>
      </c>
      <c r="J521" s="18"/>
      <c r="K521" s="18"/>
      <c r="L521" s="88">
        <f>SUM(F521:K521)</f>
        <v>2230775.7600000002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1265634.45</v>
      </c>
      <c r="I523" s="18"/>
      <c r="J523" s="18"/>
      <c r="K523" s="18"/>
      <c r="L523" s="88">
        <f>SUM(F523:K523)</f>
        <v>1265634.45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1042134.14</v>
      </c>
      <c r="G524" s="108">
        <f t="shared" ref="G524:L524" si="36">SUM(G521:G523)</f>
        <v>306635.96999999997</v>
      </c>
      <c r="H524" s="108">
        <f t="shared" si="36"/>
        <v>2143660.86</v>
      </c>
      <c r="I524" s="108">
        <f t="shared" si="36"/>
        <v>3979.24</v>
      </c>
      <c r="J524" s="108">
        <f t="shared" si="36"/>
        <v>0</v>
      </c>
      <c r="K524" s="108">
        <f t="shared" si="36"/>
        <v>0</v>
      </c>
      <c r="L524" s="89">
        <f t="shared" si="36"/>
        <v>3496410.21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267643.88</v>
      </c>
      <c r="I526" s="18"/>
      <c r="J526" s="18"/>
      <c r="K526" s="18"/>
      <c r="L526" s="88">
        <f>SUM(F526:K526)</f>
        <v>267643.88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267643.88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267643.88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147642.75</v>
      </c>
      <c r="I541" s="18"/>
      <c r="J541" s="18"/>
      <c r="K541" s="18"/>
      <c r="L541" s="88">
        <f>SUM(F541:K541)</f>
        <v>147642.75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120798.61</v>
      </c>
      <c r="I543" s="18"/>
      <c r="J543" s="18"/>
      <c r="K543" s="18"/>
      <c r="L543" s="88">
        <f>SUM(F543:K543)</f>
        <v>120798.61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268441.36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268441.36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1042134.14</v>
      </c>
      <c r="G545" s="89">
        <f t="shared" ref="G545:L545" si="41">G524+G529+G534+G539+G544</f>
        <v>306635.96999999997</v>
      </c>
      <c r="H545" s="89">
        <f t="shared" si="41"/>
        <v>2679746.0999999996</v>
      </c>
      <c r="I545" s="89">
        <f t="shared" si="41"/>
        <v>3979.24</v>
      </c>
      <c r="J545" s="89">
        <f t="shared" si="41"/>
        <v>0</v>
      </c>
      <c r="K545" s="89">
        <f t="shared" si="41"/>
        <v>0</v>
      </c>
      <c r="L545" s="89">
        <f t="shared" si="41"/>
        <v>4032495.4499999997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2230775.7600000002</v>
      </c>
      <c r="G549" s="87">
        <f>L526</f>
        <v>267643.88</v>
      </c>
      <c r="H549" s="87">
        <f>L531</f>
        <v>0</v>
      </c>
      <c r="I549" s="87">
        <f>L536</f>
        <v>0</v>
      </c>
      <c r="J549" s="87">
        <f>L541</f>
        <v>147642.75</v>
      </c>
      <c r="K549" s="87">
        <f>SUM(F549:J549)</f>
        <v>2646062.39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1265634.45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120798.61</v>
      </c>
      <c r="K551" s="87">
        <f>SUM(F551:J551)</f>
        <v>1386433.06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3496410.21</v>
      </c>
      <c r="G552" s="89">
        <f t="shared" si="42"/>
        <v>267643.88</v>
      </c>
      <c r="H552" s="89">
        <f t="shared" si="42"/>
        <v>0</v>
      </c>
      <c r="I552" s="89">
        <f t="shared" si="42"/>
        <v>0</v>
      </c>
      <c r="J552" s="89">
        <f t="shared" si="42"/>
        <v>268441.36</v>
      </c>
      <c r="K552" s="89">
        <f t="shared" si="42"/>
        <v>4032495.45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4608.46</v>
      </c>
      <c r="G562" s="18">
        <v>381.91</v>
      </c>
      <c r="H562" s="18"/>
      <c r="I562" s="18"/>
      <c r="J562" s="18"/>
      <c r="K562" s="18"/>
      <c r="L562" s="88">
        <f>SUM(F562:K562)</f>
        <v>4990.37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4608.46</v>
      </c>
      <c r="G565" s="89">
        <f t="shared" si="44"/>
        <v>381.91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4990.37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4608.46</v>
      </c>
      <c r="G571" s="89">
        <f t="shared" ref="G571:L571" si="46">G560+G565+G570</f>
        <v>381.91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4990.37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1602491.9</v>
      </c>
      <c r="I575" s="87">
        <f>SUM(F575:H575)</f>
        <v>1602491.9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v>2490</v>
      </c>
      <c r="I576" s="87">
        <f t="shared" ref="I576:I587" si="47">SUM(F576:H576)</f>
        <v>2490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1265634.45</v>
      </c>
      <c r="I579" s="87">
        <f t="shared" si="47"/>
        <v>1265634.45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302523.5</v>
      </c>
      <c r="G582" s="18"/>
      <c r="H582" s="18">
        <v>242460.42</v>
      </c>
      <c r="I582" s="87">
        <f t="shared" si="47"/>
        <v>544983.92000000004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179625.29</v>
      </c>
      <c r="I591" s="18"/>
      <c r="J591" s="18">
        <v>66436.740000000005</v>
      </c>
      <c r="K591" s="104">
        <f t="shared" ref="K591:K597" si="48">SUM(H591:J591)</f>
        <v>246062.03000000003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147642.75</v>
      </c>
      <c r="I592" s="18"/>
      <c r="J592" s="18">
        <v>120798.61</v>
      </c>
      <c r="K592" s="104">
        <f t="shared" si="48"/>
        <v>268441.36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1878.37</v>
      </c>
      <c r="I594" s="18"/>
      <c r="J594" s="18"/>
      <c r="K594" s="104">
        <f t="shared" si="48"/>
        <v>1878.37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760.76</v>
      </c>
      <c r="I595" s="18"/>
      <c r="J595" s="18"/>
      <c r="K595" s="104">
        <f t="shared" si="48"/>
        <v>760.76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4205.46</v>
      </c>
      <c r="I597" s="18"/>
      <c r="J597" s="18"/>
      <c r="K597" s="104">
        <f t="shared" si="48"/>
        <v>4205.46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334112.63000000006</v>
      </c>
      <c r="I598" s="108">
        <f>SUM(I591:I597)</f>
        <v>0</v>
      </c>
      <c r="J598" s="108">
        <f>SUM(J591:J597)</f>
        <v>187235.35</v>
      </c>
      <c r="K598" s="108">
        <f>SUM(K591:K597)</f>
        <v>521347.98000000004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40823.480000000003</v>
      </c>
      <c r="I604" s="18"/>
      <c r="J604" s="18"/>
      <c r="K604" s="104">
        <f>SUM(H604:J604)</f>
        <v>40823.480000000003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40823.480000000003</v>
      </c>
      <c r="I605" s="108">
        <f>SUM(I602:I604)</f>
        <v>0</v>
      </c>
      <c r="J605" s="108">
        <f>SUM(J602:J604)</f>
        <v>0</v>
      </c>
      <c r="K605" s="108">
        <f>SUM(K602:K604)</f>
        <v>40823.480000000003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950964.82</v>
      </c>
      <c r="H617" s="109">
        <f>SUM(F52)</f>
        <v>950964.82000000007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103812.48</v>
      </c>
      <c r="H618" s="109">
        <f>SUM(G52)</f>
        <v>103812.48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392134.83</v>
      </c>
      <c r="H619" s="109">
        <f>SUM(H52)</f>
        <v>392134.82999999996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306193.21999999997</v>
      </c>
      <c r="H621" s="109">
        <f>SUM(J52)</f>
        <v>306193.21999999997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595484.28</v>
      </c>
      <c r="H622" s="109">
        <f>F476</f>
        <v>595484.28000000119</v>
      </c>
      <c r="I622" s="121" t="s">
        <v>101</v>
      </c>
      <c r="J622" s="109">
        <f t="shared" ref="J622:J655" si="50">G622-H622</f>
        <v>-1.1641532182693481E-9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102033.78</v>
      </c>
      <c r="H623" s="109">
        <f>G476</f>
        <v>102033.77999999997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374358.41</v>
      </c>
      <c r="H624" s="109">
        <f>H476</f>
        <v>374358.41000000003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306193.21999999997</v>
      </c>
      <c r="H626" s="109">
        <f>J476</f>
        <v>306193.21999999997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10084610.560000001</v>
      </c>
      <c r="H627" s="104">
        <f>SUM(F468)</f>
        <v>10084610.560000001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278103.61</v>
      </c>
      <c r="H628" s="104">
        <f>SUM(G468)</f>
        <v>278103.61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853332.89</v>
      </c>
      <c r="H629" s="104">
        <f>SUM(H468)</f>
        <v>853332.89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125024.93</v>
      </c>
      <c r="H631" s="104">
        <f>SUM(J468)</f>
        <v>125024.93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10063339.02</v>
      </c>
      <c r="H632" s="104">
        <f>SUM(F472)</f>
        <v>10063339.02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808724.36</v>
      </c>
      <c r="H633" s="104">
        <f>SUM(H472)</f>
        <v>808724.36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141294.14000000001</v>
      </c>
      <c r="H634" s="104">
        <f>I369</f>
        <v>141294.14000000001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263390.26999999996</v>
      </c>
      <c r="H635" s="104">
        <f>SUM(G472)</f>
        <v>263390.27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125024.93000000001</v>
      </c>
      <c r="H637" s="164">
        <f>SUM(J468)</f>
        <v>125024.93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202378.05</v>
      </c>
      <c r="H639" s="104">
        <f>SUM(F461)</f>
        <v>202378.05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103815.17</v>
      </c>
      <c r="H640" s="104">
        <f>SUM(G461)</f>
        <v>103815.17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306193.21999999997</v>
      </c>
      <c r="H642" s="104">
        <f>SUM(I461)</f>
        <v>306193.21999999997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24.93</v>
      </c>
      <c r="H644" s="104">
        <f>H408</f>
        <v>24.93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125000</v>
      </c>
      <c r="H645" s="104">
        <f>G408</f>
        <v>125000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125024.93</v>
      </c>
      <c r="H646" s="104">
        <f>L408</f>
        <v>125024.93000000001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521347.98000000004</v>
      </c>
      <c r="H647" s="104">
        <f>L208+L226+L244</f>
        <v>521347.98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40823.480000000003</v>
      </c>
      <c r="H648" s="104">
        <f>(J257+J338)-(J255+J336)</f>
        <v>40823.479999999996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334112.63</v>
      </c>
      <c r="H649" s="104">
        <f>H598</f>
        <v>334112.63000000006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187235.35</v>
      </c>
      <c r="H651" s="104">
        <f>J598</f>
        <v>187235.35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125000</v>
      </c>
      <c r="H655" s="104">
        <f>K266+K347</f>
        <v>125000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7456459.5300000003</v>
      </c>
      <c r="G660" s="19">
        <f>(L229+L309+L359)</f>
        <v>0</v>
      </c>
      <c r="H660" s="19">
        <f>(L247+L328+L360)</f>
        <v>3300312.12</v>
      </c>
      <c r="I660" s="19">
        <f>SUM(F660:H660)</f>
        <v>10756771.65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43778.15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43778.15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341567.35</v>
      </c>
      <c r="G662" s="19">
        <f>(L226+L306)-(J226+J306)</f>
        <v>0</v>
      </c>
      <c r="H662" s="19">
        <f>(L244+L325)-(J244+J325)</f>
        <v>187235.35</v>
      </c>
      <c r="I662" s="19">
        <f>SUM(F662:H662)</f>
        <v>528802.69999999995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343346.98</v>
      </c>
      <c r="G663" s="199">
        <f>SUM(G575:G587)+SUM(I602:I604)+L612</f>
        <v>0</v>
      </c>
      <c r="H663" s="199">
        <f>SUM(H575:H587)+SUM(J602:J604)+L613</f>
        <v>3113076.7699999996</v>
      </c>
      <c r="I663" s="19">
        <f>SUM(F663:H663)</f>
        <v>3456423.7499999995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6727767.0500000007</v>
      </c>
      <c r="G664" s="19">
        <f>G660-SUM(G661:G663)</f>
        <v>0</v>
      </c>
      <c r="H664" s="19">
        <f>H660-SUM(H661:H663)</f>
        <v>0</v>
      </c>
      <c r="I664" s="19">
        <f>I660-SUM(I661:I663)</f>
        <v>6727767.0500000007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451.02</v>
      </c>
      <c r="G665" s="248"/>
      <c r="H665" s="248"/>
      <c r="I665" s="19">
        <f>SUM(F665:H665)</f>
        <v>451.02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14916.78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14916.78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14916.78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14916.78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F25" sqref="F2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Winchester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1608293.5499999998</v>
      </c>
      <c r="C9" s="229">
        <f>'DOE25'!G197+'DOE25'!G215+'DOE25'!G233+'DOE25'!G276+'DOE25'!G295+'DOE25'!G314</f>
        <v>829157.59</v>
      </c>
    </row>
    <row r="10" spans="1:3" x14ac:dyDescent="0.2">
      <c r="A10" t="s">
        <v>779</v>
      </c>
      <c r="B10" s="240">
        <v>1596214.75</v>
      </c>
      <c r="C10" s="240">
        <v>828233.56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v>12078.8</v>
      </c>
      <c r="C12" s="240">
        <v>924.03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1608293.55</v>
      </c>
      <c r="C13" s="231">
        <f>SUM(C10:C12)</f>
        <v>829157.59000000008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1077647.1400000001</v>
      </c>
      <c r="C18" s="229">
        <f>'DOE25'!G198+'DOE25'!G216+'DOE25'!G234+'DOE25'!G277+'DOE25'!G296+'DOE25'!G315</f>
        <v>322618.26999999996</v>
      </c>
    </row>
    <row r="19" spans="1:3" x14ac:dyDescent="0.2">
      <c r="A19" t="s">
        <v>779</v>
      </c>
      <c r="B19" s="240">
        <v>504865.12</v>
      </c>
      <c r="C19" s="240">
        <v>247636.92</v>
      </c>
    </row>
    <row r="20" spans="1:3" x14ac:dyDescent="0.2">
      <c r="A20" t="s">
        <v>780</v>
      </c>
      <c r="B20" s="240">
        <v>474135.26</v>
      </c>
      <c r="C20" s="240">
        <v>36271.339999999997</v>
      </c>
    </row>
    <row r="21" spans="1:3" x14ac:dyDescent="0.2">
      <c r="A21" t="s">
        <v>781</v>
      </c>
      <c r="B21" s="240">
        <v>98646.76</v>
      </c>
      <c r="C21" s="240">
        <v>38710.01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1077647.1399999999</v>
      </c>
      <c r="C22" s="231">
        <f>SUM(C19:C21)</f>
        <v>322618.27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45661.64</v>
      </c>
      <c r="C36" s="235">
        <f>'DOE25'!G200+'DOE25'!G218+'DOE25'!G236+'DOE25'!G279+'DOE25'!G298+'DOE25'!G317</f>
        <v>19163.71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45661.64</v>
      </c>
      <c r="C39" s="240">
        <v>19163.71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45661.64</v>
      </c>
      <c r="C40" s="231">
        <f>SUM(C37:C39)</f>
        <v>19163.71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25" sqref="F25"/>
      <selection pane="bottomLeft" sqref="A1:H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Winchester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7228194.5999999996</v>
      </c>
      <c r="D5" s="20">
        <f>SUM('DOE25'!L197:L200)+SUM('DOE25'!L215:L218)+SUM('DOE25'!L233:L236)-F5-G5</f>
        <v>7227419.9799999995</v>
      </c>
      <c r="E5" s="243"/>
      <c r="F5" s="255">
        <f>SUM('DOE25'!J197:J200)+SUM('DOE25'!J215:J218)+SUM('DOE25'!J233:J236)</f>
        <v>587.62</v>
      </c>
      <c r="G5" s="53">
        <f>SUM('DOE25'!K197:K200)+SUM('DOE25'!K215:K218)+SUM('DOE25'!K233:K236)</f>
        <v>187</v>
      </c>
      <c r="H5" s="259"/>
    </row>
    <row r="6" spans="1:9" x14ac:dyDescent="0.2">
      <c r="A6" s="32">
        <v>2100</v>
      </c>
      <c r="B6" t="s">
        <v>801</v>
      </c>
      <c r="C6" s="245">
        <f t="shared" si="0"/>
        <v>447746.53</v>
      </c>
      <c r="D6" s="20">
        <f>'DOE25'!L202+'DOE25'!L220+'DOE25'!L238-F6-G6</f>
        <v>443572.44</v>
      </c>
      <c r="E6" s="243"/>
      <c r="F6" s="255">
        <f>'DOE25'!J202+'DOE25'!J220+'DOE25'!J238</f>
        <v>4174.09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135688.57</v>
      </c>
      <c r="D7" s="20">
        <f>'DOE25'!L203+'DOE25'!L221+'DOE25'!L239-F7-G7</f>
        <v>135688.57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37919.839999999997</v>
      </c>
      <c r="D8" s="243"/>
      <c r="E8" s="20">
        <f>'DOE25'!L204+'DOE25'!L222+'DOE25'!L240-F8-G8-D9-D11</f>
        <v>27547.399999999994</v>
      </c>
      <c r="F8" s="255">
        <f>'DOE25'!J204+'DOE25'!J222+'DOE25'!J240</f>
        <v>1949.66</v>
      </c>
      <c r="G8" s="53">
        <f>'DOE25'!K204+'DOE25'!K222+'DOE25'!K240</f>
        <v>8422.7800000000007</v>
      </c>
      <c r="H8" s="259"/>
    </row>
    <row r="9" spans="1:9" x14ac:dyDescent="0.2">
      <c r="A9" s="32">
        <v>2310</v>
      </c>
      <c r="B9" t="s">
        <v>818</v>
      </c>
      <c r="C9" s="245">
        <f t="shared" si="0"/>
        <v>11678.74</v>
      </c>
      <c r="D9" s="244">
        <v>11678.74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14000</v>
      </c>
      <c r="D10" s="243"/>
      <c r="E10" s="244">
        <v>14000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180680.63</v>
      </c>
      <c r="D11" s="244">
        <v>180680.63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248317.08</v>
      </c>
      <c r="D12" s="20">
        <f>'DOE25'!L205+'DOE25'!L223+'DOE25'!L241-F12-G12</f>
        <v>248003.08</v>
      </c>
      <c r="E12" s="243"/>
      <c r="F12" s="255">
        <f>'DOE25'!J205+'DOE25'!J223+'DOE25'!J241</f>
        <v>0</v>
      </c>
      <c r="G12" s="53">
        <f>'DOE25'!K205+'DOE25'!K223+'DOE25'!K241</f>
        <v>314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113758.82</v>
      </c>
      <c r="D13" s="243"/>
      <c r="E13" s="20">
        <f>'DOE25'!L206+'DOE25'!L224+'DOE25'!L242-F13-G13</f>
        <v>113758.82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625903.13</v>
      </c>
      <c r="D14" s="20">
        <f>'DOE25'!L207+'DOE25'!L225+'DOE25'!L243-F14-G14</f>
        <v>610671.14</v>
      </c>
      <c r="E14" s="243"/>
      <c r="F14" s="255">
        <f>'DOE25'!J207+'DOE25'!J225+'DOE25'!J243</f>
        <v>15231.99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521347.98</v>
      </c>
      <c r="D15" s="20">
        <f>'DOE25'!L208+'DOE25'!L226+'DOE25'!L244-F15-G15</f>
        <v>521347.98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133421.1</v>
      </c>
      <c r="D16" s="243"/>
      <c r="E16" s="20">
        <f>'DOE25'!L209+'DOE25'!L227+'DOE25'!L245-F16-G16</f>
        <v>114540.98000000001</v>
      </c>
      <c r="F16" s="255">
        <f>'DOE25'!J209+'DOE25'!J227+'DOE25'!J245</f>
        <v>18880.12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253682</v>
      </c>
      <c r="D25" s="243"/>
      <c r="E25" s="243"/>
      <c r="F25" s="258"/>
      <c r="G25" s="256"/>
      <c r="H25" s="257">
        <f>'DOE25'!L260+'DOE25'!L261+'DOE25'!L341+'DOE25'!L342</f>
        <v>253682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159557.19999999995</v>
      </c>
      <c r="D29" s="20">
        <f>'DOE25'!L358+'DOE25'!L359+'DOE25'!L360-'DOE25'!I367-F29-G29</f>
        <v>159289.89999999997</v>
      </c>
      <c r="E29" s="243"/>
      <c r="F29" s="255">
        <f>'DOE25'!J358+'DOE25'!J359+'DOE25'!J360</f>
        <v>267.3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808724.36</v>
      </c>
      <c r="D31" s="20">
        <f>'DOE25'!L290+'DOE25'!L309+'DOE25'!L328+'DOE25'!L333+'DOE25'!L334+'DOE25'!L335-F31-G31</f>
        <v>805674.36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3050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10344026.82</v>
      </c>
      <c r="E33" s="246">
        <f>SUM(E5:E31)</f>
        <v>269847.2</v>
      </c>
      <c r="F33" s="246">
        <f>SUM(F5:F31)</f>
        <v>41090.78</v>
      </c>
      <c r="G33" s="246">
        <f>SUM(G5:G31)</f>
        <v>11973.78</v>
      </c>
      <c r="H33" s="246">
        <f>SUM(H5:H31)</f>
        <v>253682</v>
      </c>
    </row>
    <row r="35" spans="2:8" ht="12" thickBot="1" x14ac:dyDescent="0.25">
      <c r="B35" s="253" t="s">
        <v>847</v>
      </c>
      <c r="D35" s="254">
        <f>E33</f>
        <v>269847.2</v>
      </c>
      <c r="E35" s="249"/>
    </row>
    <row r="36" spans="2:8" ht="12" thickTop="1" x14ac:dyDescent="0.2">
      <c r="B36" t="s">
        <v>815</v>
      </c>
      <c r="D36" s="20">
        <f>D33</f>
        <v>10344026.82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20" activePane="bottomLeft" state="frozen"/>
      <selection activeCell="F25" sqref="F25"/>
      <selection pane="bottomLeft" activeCell="F25" sqref="F2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Winchester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447410.69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441807.72</v>
      </c>
      <c r="D11" s="95">
        <f>'DOE25'!G12</f>
        <v>74767.259999999995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16483.169999999998</v>
      </c>
      <c r="E12" s="95">
        <f>'DOE25'!H13</f>
        <v>392134.83</v>
      </c>
      <c r="F12" s="95">
        <f>'DOE25'!I13</f>
        <v>0</v>
      </c>
      <c r="G12" s="95">
        <f>'DOE25'!J13</f>
        <v>306193.21999999997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61746.41</v>
      </c>
      <c r="D13" s="95">
        <f>'DOE25'!G14</f>
        <v>2286.0500000000002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10276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950964.82</v>
      </c>
      <c r="D18" s="41">
        <f>SUM(D8:D17)</f>
        <v>103812.48</v>
      </c>
      <c r="E18" s="41">
        <f>SUM(E8:E17)</f>
        <v>392134.83</v>
      </c>
      <c r="F18" s="41">
        <f>SUM(F8:F17)</f>
        <v>0</v>
      </c>
      <c r="G18" s="41">
        <f>SUM(G8:G17)</f>
        <v>306193.21999999997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69018.36</v>
      </c>
      <c r="D23" s="95">
        <f>'DOE25'!G24</f>
        <v>1778.7</v>
      </c>
      <c r="E23" s="95">
        <f>'DOE25'!H24</f>
        <v>473.05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286462.18</v>
      </c>
      <c r="D27" s="95">
        <f>'DOE25'!G28</f>
        <v>0</v>
      </c>
      <c r="E27" s="95">
        <f>'DOE25'!H28</f>
        <v>17303.37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355480.54</v>
      </c>
      <c r="D31" s="41">
        <f>SUM(D21:D30)</f>
        <v>1778.7</v>
      </c>
      <c r="E31" s="41">
        <f>SUM(E21:E30)</f>
        <v>17776.419999999998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102033.78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374358.41</v>
      </c>
      <c r="F47" s="95">
        <f>'DOE25'!I48</f>
        <v>0</v>
      </c>
      <c r="G47" s="95">
        <f>'DOE25'!J48</f>
        <v>306193.21999999997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357732.29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187751.99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595484.28</v>
      </c>
      <c r="D50" s="41">
        <f>SUM(D34:D49)</f>
        <v>102033.78</v>
      </c>
      <c r="E50" s="41">
        <f>SUM(E34:E49)</f>
        <v>374358.41</v>
      </c>
      <c r="F50" s="41">
        <f>SUM(F34:F49)</f>
        <v>0</v>
      </c>
      <c r="G50" s="41">
        <f>SUM(G34:G49)</f>
        <v>306193.21999999997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950964.82000000007</v>
      </c>
      <c r="D51" s="41">
        <f>D50+D31</f>
        <v>103812.48</v>
      </c>
      <c r="E51" s="41">
        <f>E50+E31</f>
        <v>392134.82999999996</v>
      </c>
      <c r="F51" s="41">
        <f>F50+F31</f>
        <v>0</v>
      </c>
      <c r="G51" s="41">
        <f>G50+G31</f>
        <v>306193.21999999997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4622865.22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42102.58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24.93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41212.980000000003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162195.57</v>
      </c>
      <c r="D61" s="95">
        <f>SUM('DOE25'!G98:G110)</f>
        <v>2565.17</v>
      </c>
      <c r="E61" s="95">
        <f>SUM('DOE25'!H98:H110)</f>
        <v>19324.919999999998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204298.15000000002</v>
      </c>
      <c r="D62" s="130">
        <f>SUM(D57:D61)</f>
        <v>43778.15</v>
      </c>
      <c r="E62" s="130">
        <f>SUM(E57:E61)</f>
        <v>19324.919999999998</v>
      </c>
      <c r="F62" s="130">
        <f>SUM(F57:F61)</f>
        <v>0</v>
      </c>
      <c r="G62" s="130">
        <f>SUM(G57:G61)</f>
        <v>24.93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4827163.37</v>
      </c>
      <c r="D63" s="22">
        <f>D56+D62</f>
        <v>43778.15</v>
      </c>
      <c r="E63" s="22">
        <f>E56+E62</f>
        <v>19324.919999999998</v>
      </c>
      <c r="F63" s="22">
        <f>F56+F62</f>
        <v>0</v>
      </c>
      <c r="G63" s="22">
        <f>G56+G62</f>
        <v>24.93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4180846.64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700765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4881611.6400000006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61928.160000000003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165086.57999999999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4110.97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227014.74</v>
      </c>
      <c r="D78" s="130">
        <f>SUM(D72:D77)</f>
        <v>4110.97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3375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5108626.3800000008</v>
      </c>
      <c r="D81" s="130">
        <f>SUM(D79:D80)+D78+D70</f>
        <v>4110.97</v>
      </c>
      <c r="E81" s="130">
        <f>SUM(E79:E80)+E78+E70</f>
        <v>3375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121375.89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148820.81</v>
      </c>
      <c r="D88" s="95">
        <f>SUM('DOE25'!G153:G161)</f>
        <v>230214.49</v>
      </c>
      <c r="E88" s="95">
        <f>SUM('DOE25'!H153:H161)</f>
        <v>709257.08000000007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148820.81</v>
      </c>
      <c r="D91" s="131">
        <f>SUM(D85:D90)</f>
        <v>230214.49</v>
      </c>
      <c r="E91" s="131">
        <f>SUM(E85:E90)</f>
        <v>830632.97000000009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125000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125000</v>
      </c>
    </row>
    <row r="104" spans="1:7" ht="12.75" thickTop="1" thickBot="1" x14ac:dyDescent="0.25">
      <c r="A104" s="33" t="s">
        <v>765</v>
      </c>
      <c r="C104" s="86">
        <f>C63+C81+C91+C103</f>
        <v>10084610.560000001</v>
      </c>
      <c r="D104" s="86">
        <f>D63+D81+D91+D103</f>
        <v>278103.61</v>
      </c>
      <c r="E104" s="86">
        <f>E63+E81+E91+E103</f>
        <v>853332.89000000013</v>
      </c>
      <c r="F104" s="86">
        <f>F63+F81+F91+F103</f>
        <v>0</v>
      </c>
      <c r="G104" s="86">
        <f>G63+G81+G103</f>
        <v>125024.93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3683692.88</v>
      </c>
      <c r="D109" s="24" t="s">
        <v>289</v>
      </c>
      <c r="E109" s="95">
        <f>('DOE25'!L276)+('DOE25'!L295)+('DOE25'!L314)</f>
        <v>420361.68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3496410.21</v>
      </c>
      <c r="D110" s="24" t="s">
        <v>289</v>
      </c>
      <c r="E110" s="95">
        <f>('DOE25'!L277)+('DOE25'!L296)+('DOE25'!L315)</f>
        <v>74318.77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48091.51</v>
      </c>
      <c r="D112" s="24" t="s">
        <v>289</v>
      </c>
      <c r="E112" s="95">
        <f>+('DOE25'!L279)+('DOE25'!L298)+('DOE25'!L317)</f>
        <v>132099.79999999999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7228194.5999999996</v>
      </c>
      <c r="D115" s="86">
        <f>SUM(D109:D114)</f>
        <v>0</v>
      </c>
      <c r="E115" s="86">
        <f>SUM(E109:E114)</f>
        <v>626780.25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447746.53</v>
      </c>
      <c r="D118" s="24" t="s">
        <v>289</v>
      </c>
      <c r="E118" s="95">
        <f>+('DOE25'!L281)+('DOE25'!L300)+('DOE25'!L319)</f>
        <v>53289.85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135688.57</v>
      </c>
      <c r="D119" s="24" t="s">
        <v>289</v>
      </c>
      <c r="E119" s="95">
        <f>+('DOE25'!L282)+('DOE25'!L301)+('DOE25'!L320)</f>
        <v>121199.54000000001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230279.21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248317.08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113758.82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625903.13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521347.98</v>
      </c>
      <c r="D124" s="24" t="s">
        <v>289</v>
      </c>
      <c r="E124" s="95">
        <f>+('DOE25'!L287)+('DOE25'!L306)+('DOE25'!L325)</f>
        <v>7454.72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133421.1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263390.26999999996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2456462.4200000004</v>
      </c>
      <c r="D128" s="86">
        <f>SUM(D118:D127)</f>
        <v>263390.26999999996</v>
      </c>
      <c r="E128" s="86">
        <f>SUM(E118:E127)</f>
        <v>181944.11000000002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175000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78682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25021.72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100003.21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-24.930000000007567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378682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10063339.02</v>
      </c>
      <c r="D145" s="86">
        <f>(D115+D128+D144)</f>
        <v>263390.26999999996</v>
      </c>
      <c r="E145" s="86">
        <f>(E115+E128+E144)</f>
        <v>808724.36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08/23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3504725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1925000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1925000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175000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175000</v>
      </c>
    </row>
    <row r="159" spans="1:9" x14ac:dyDescent="0.2">
      <c r="A159" s="22" t="s">
        <v>35</v>
      </c>
      <c r="B159" s="137">
        <f>'DOE25'!F498</f>
        <v>1750000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1750000</v>
      </c>
    </row>
    <row r="160" spans="1:9" x14ac:dyDescent="0.2">
      <c r="A160" s="22" t="s">
        <v>36</v>
      </c>
      <c r="B160" s="137">
        <f>'DOE25'!F499</f>
        <v>331751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331751</v>
      </c>
    </row>
    <row r="161" spans="1:7" x14ac:dyDescent="0.2">
      <c r="A161" s="22" t="s">
        <v>37</v>
      </c>
      <c r="B161" s="137">
        <f>'DOE25'!F500</f>
        <v>2081751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2081751</v>
      </c>
    </row>
    <row r="162" spans="1:7" x14ac:dyDescent="0.2">
      <c r="A162" s="22" t="s">
        <v>38</v>
      </c>
      <c r="B162" s="137">
        <f>'DOE25'!F501</f>
        <v>175000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175000</v>
      </c>
    </row>
    <row r="163" spans="1:7" x14ac:dyDescent="0.2">
      <c r="A163" s="22" t="s">
        <v>39</v>
      </c>
      <c r="B163" s="137">
        <f>'DOE25'!F502</f>
        <v>66682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66682</v>
      </c>
    </row>
    <row r="164" spans="1:7" x14ac:dyDescent="0.2">
      <c r="A164" s="22" t="s">
        <v>246</v>
      </c>
      <c r="B164" s="137">
        <f>'DOE25'!F503</f>
        <v>241682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241682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F25" sqref="F25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Winchester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14917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14917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4104055</v>
      </c>
      <c r="D10" s="182">
        <f>ROUND((C10/$C$28)*100,1)</f>
        <v>38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3570729</v>
      </c>
      <c r="D11" s="182">
        <f>ROUND((C11/$C$28)*100,1)</f>
        <v>33.1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180191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501036</v>
      </c>
      <c r="D15" s="182">
        <f t="shared" ref="D15:D27" si="0">ROUND((C15/$C$28)*100,1)</f>
        <v>4.5999999999999996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256888</v>
      </c>
      <c r="D16" s="182">
        <f t="shared" si="0"/>
        <v>2.4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363700</v>
      </c>
      <c r="D17" s="182">
        <f t="shared" si="0"/>
        <v>3.4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248317</v>
      </c>
      <c r="D18" s="182">
        <f t="shared" si="0"/>
        <v>2.2999999999999998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113759</v>
      </c>
      <c r="D19" s="182">
        <f t="shared" si="0"/>
        <v>1.1000000000000001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625903</v>
      </c>
      <c r="D20" s="182">
        <f t="shared" si="0"/>
        <v>5.8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528803</v>
      </c>
      <c r="D21" s="182">
        <f t="shared" si="0"/>
        <v>4.9000000000000004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78682</v>
      </c>
      <c r="D25" s="182">
        <f t="shared" si="0"/>
        <v>0.7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219611.85</v>
      </c>
      <c r="D27" s="182">
        <f t="shared" si="0"/>
        <v>2</v>
      </c>
    </row>
    <row r="28" spans="1:4" x14ac:dyDescent="0.2">
      <c r="B28" s="187" t="s">
        <v>723</v>
      </c>
      <c r="C28" s="180">
        <f>SUM(C10:C27)</f>
        <v>10791674.85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10791674.85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175000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4622865</v>
      </c>
      <c r="D35" s="182">
        <f t="shared" ref="D35:D40" si="1">ROUND((C35/$C$41)*100,1)</f>
        <v>41.4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223648.21999999974</v>
      </c>
      <c r="D36" s="182">
        <f t="shared" si="1"/>
        <v>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4881612</v>
      </c>
      <c r="D37" s="182">
        <f t="shared" si="1"/>
        <v>43.7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234501</v>
      </c>
      <c r="D38" s="182">
        <f t="shared" si="1"/>
        <v>2.1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1209668</v>
      </c>
      <c r="D39" s="182">
        <f t="shared" si="1"/>
        <v>10.8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11172294.219999999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Winchester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2014-11-18T17:35:36Z</cp:lastPrinted>
  <dcterms:created xsi:type="dcterms:W3CDTF">1997-12-04T19:04:30Z</dcterms:created>
  <dcterms:modified xsi:type="dcterms:W3CDTF">2014-11-18T17:39:43Z</dcterms:modified>
</cp:coreProperties>
</file>