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30" windowWidth="12735" windowHeight="648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D11" i="13" l="1"/>
  <c r="I613" i="1" l="1"/>
  <c r="I611" i="1"/>
  <c r="F613" i="1"/>
  <c r="F611" i="1"/>
  <c r="G276" i="1"/>
  <c r="G314" i="1"/>
  <c r="I320" i="1"/>
  <c r="G277" i="1"/>
  <c r="F57" i="1"/>
  <c r="B19" i="12" l="1"/>
  <c r="F533" i="1"/>
  <c r="F531" i="1"/>
  <c r="F523" i="1"/>
  <c r="F521" i="1"/>
  <c r="F502" i="1"/>
  <c r="F276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20" i="2" s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C112" i="2" s="1"/>
  <c r="L215" i="1"/>
  <c r="L216" i="1"/>
  <c r="L217" i="1"/>
  <c r="L218" i="1"/>
  <c r="L233" i="1"/>
  <c r="L234" i="1"/>
  <c r="L235" i="1"/>
  <c r="C111" i="2" s="1"/>
  <c r="L236" i="1"/>
  <c r="F6" i="13"/>
  <c r="G6" i="13"/>
  <c r="L202" i="1"/>
  <c r="L220" i="1"/>
  <c r="L238" i="1"/>
  <c r="F7" i="13"/>
  <c r="G7" i="13"/>
  <c r="L203" i="1"/>
  <c r="L221" i="1"/>
  <c r="L239" i="1"/>
  <c r="C119" i="2" s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H647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D127" i="2" s="1"/>
  <c r="D128" i="2" s="1"/>
  <c r="I367" i="1"/>
  <c r="D29" i="13" s="1"/>
  <c r="C29" i="13" s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E123" i="2" s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E110" i="2" s="1"/>
  <c r="L316" i="1"/>
  <c r="L317" i="1"/>
  <c r="E112" i="2" s="1"/>
  <c r="L319" i="1"/>
  <c r="E118" i="2" s="1"/>
  <c r="L320" i="1"/>
  <c r="E119" i="2" s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L341" i="1"/>
  <c r="L342" i="1"/>
  <c r="L255" i="1"/>
  <c r="C130" i="2" s="1"/>
  <c r="L336" i="1"/>
  <c r="C11" i="13"/>
  <c r="C10" i="13"/>
  <c r="C9" i="13"/>
  <c r="L361" i="1"/>
  <c r="L362" i="1" s="1"/>
  <c r="B4" i="12"/>
  <c r="B36" i="12"/>
  <c r="C36" i="12"/>
  <c r="C39" i="12" s="1"/>
  <c r="C40" i="12" s="1"/>
  <c r="A40" i="12" s="1"/>
  <c r="B40" i="12"/>
  <c r="B27" i="12"/>
  <c r="C27" i="12"/>
  <c r="B31" i="12"/>
  <c r="C31" i="12"/>
  <c r="B9" i="12"/>
  <c r="B13" i="12"/>
  <c r="C9" i="12"/>
  <c r="B18" i="12"/>
  <c r="B22" i="12"/>
  <c r="C18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H112" i="1" s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H140" i="1" s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7" i="10"/>
  <c r="L250" i="1"/>
  <c r="L332" i="1"/>
  <c r="L254" i="1"/>
  <c r="C25" i="10"/>
  <c r="L268" i="1"/>
  <c r="L269" i="1"/>
  <c r="L349" i="1"/>
  <c r="L350" i="1"/>
  <c r="I665" i="1"/>
  <c r="I670" i="1"/>
  <c r="L229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D18" i="2" s="1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E31" i="2" s="1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F56" i="2"/>
  <c r="C57" i="2"/>
  <c r="E57" i="2"/>
  <c r="E62" i="2" s="1"/>
  <c r="C58" i="2"/>
  <c r="E58" i="2"/>
  <c r="C59" i="2"/>
  <c r="D59" i="2"/>
  <c r="E59" i="2"/>
  <c r="F59" i="2"/>
  <c r="D60" i="2"/>
  <c r="D62" i="2" s="1"/>
  <c r="D63" i="2" s="1"/>
  <c r="C61" i="2"/>
  <c r="C62" i="2" s="1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C113" i="2"/>
  <c r="E113" i="2"/>
  <c r="C114" i="2"/>
  <c r="E114" i="2"/>
  <c r="D115" i="2"/>
  <c r="F115" i="2"/>
  <c r="G115" i="2"/>
  <c r="C118" i="2"/>
  <c r="E120" i="2"/>
  <c r="E121" i="2"/>
  <c r="E122" i="2"/>
  <c r="C123" i="2"/>
  <c r="E124" i="2"/>
  <c r="C125" i="2"/>
  <c r="E125" i="2"/>
  <c r="F128" i="2"/>
  <c r="G128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G620" i="1" s="1"/>
  <c r="F32" i="1"/>
  <c r="F52" i="1" s="1"/>
  <c r="H617" i="1" s="1"/>
  <c r="G32" i="1"/>
  <c r="H32" i="1"/>
  <c r="I32" i="1"/>
  <c r="G52" i="1"/>
  <c r="H618" i="1" s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I257" i="1" s="1"/>
  <c r="I271" i="1" s="1"/>
  <c r="J247" i="1"/>
  <c r="J257" i="1" s="1"/>
  <c r="J271" i="1" s="1"/>
  <c r="K247" i="1"/>
  <c r="F256" i="1"/>
  <c r="G256" i="1"/>
  <c r="H256" i="1"/>
  <c r="I256" i="1"/>
  <c r="J256" i="1"/>
  <c r="K256" i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J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G460" i="1"/>
  <c r="H460" i="1"/>
  <c r="I460" i="1"/>
  <c r="F461" i="1"/>
  <c r="G461" i="1"/>
  <c r="H461" i="1"/>
  <c r="I461" i="1"/>
  <c r="H642" i="1" s="1"/>
  <c r="F470" i="1"/>
  <c r="G470" i="1"/>
  <c r="H470" i="1"/>
  <c r="H476" i="1" s="1"/>
  <c r="H624" i="1" s="1"/>
  <c r="J624" i="1" s="1"/>
  <c r="I470" i="1"/>
  <c r="I476" i="1" s="1"/>
  <c r="H625" i="1" s="1"/>
  <c r="J625" i="1" s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K545" i="1" s="1"/>
  <c r="F529" i="1"/>
  <c r="G529" i="1"/>
  <c r="H529" i="1"/>
  <c r="I529" i="1"/>
  <c r="I545" i="1" s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F571" i="1" s="1"/>
  <c r="G565" i="1"/>
  <c r="H565" i="1"/>
  <c r="H571" i="1" s="1"/>
  <c r="I565" i="1"/>
  <c r="I571" i="1" s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19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J639" i="1" s="1"/>
  <c r="G640" i="1"/>
  <c r="H640" i="1"/>
  <c r="G641" i="1"/>
  <c r="H641" i="1"/>
  <c r="G643" i="1"/>
  <c r="H643" i="1"/>
  <c r="G644" i="1"/>
  <c r="G645" i="1"/>
  <c r="H645" i="1"/>
  <c r="G649" i="1"/>
  <c r="G650" i="1"/>
  <c r="G652" i="1"/>
  <c r="H652" i="1"/>
  <c r="G653" i="1"/>
  <c r="H653" i="1"/>
  <c r="G654" i="1"/>
  <c r="H654" i="1"/>
  <c r="H655" i="1"/>
  <c r="L256" i="1"/>
  <c r="G257" i="1"/>
  <c r="G271" i="1" s="1"/>
  <c r="G164" i="2"/>
  <c r="C18" i="2"/>
  <c r="C26" i="10"/>
  <c r="L351" i="1"/>
  <c r="A31" i="12"/>
  <c r="C70" i="2"/>
  <c r="D18" i="13"/>
  <c r="C18" i="13" s="1"/>
  <c r="D17" i="13"/>
  <c r="C17" i="13" s="1"/>
  <c r="D6" i="13"/>
  <c r="C6" i="13" s="1"/>
  <c r="C91" i="2"/>
  <c r="F78" i="2"/>
  <c r="F81" i="2" s="1"/>
  <c r="D31" i="2"/>
  <c r="G157" i="2"/>
  <c r="F18" i="2"/>
  <c r="G161" i="2"/>
  <c r="G156" i="2"/>
  <c r="E103" i="2"/>
  <c r="D91" i="2"/>
  <c r="G62" i="2"/>
  <c r="D19" i="13"/>
  <c r="C19" i="13" s="1"/>
  <c r="D14" i="13"/>
  <c r="C14" i="13" s="1"/>
  <c r="E78" i="2"/>
  <c r="E81" i="2" s="1"/>
  <c r="L427" i="1"/>
  <c r="J641" i="1"/>
  <c r="K605" i="1"/>
  <c r="G648" i="1" s="1"/>
  <c r="J571" i="1"/>
  <c r="K571" i="1"/>
  <c r="L433" i="1"/>
  <c r="L419" i="1"/>
  <c r="D81" i="2"/>
  <c r="I169" i="1"/>
  <c r="H169" i="1"/>
  <c r="J643" i="1"/>
  <c r="J476" i="1"/>
  <c r="H626" i="1" s="1"/>
  <c r="F476" i="1"/>
  <c r="H622" i="1" s="1"/>
  <c r="G476" i="1"/>
  <c r="H623" i="1" s="1"/>
  <c r="J623" i="1" s="1"/>
  <c r="F169" i="1"/>
  <c r="J140" i="1"/>
  <c r="I552" i="1"/>
  <c r="K550" i="1"/>
  <c r="G22" i="2"/>
  <c r="H552" i="1"/>
  <c r="L401" i="1"/>
  <c r="C139" i="2" s="1"/>
  <c r="L393" i="1"/>
  <c r="C138" i="2" s="1"/>
  <c r="F22" i="13"/>
  <c r="C22" i="13" s="1"/>
  <c r="H25" i="13"/>
  <c r="C25" i="13" s="1"/>
  <c r="J640" i="1"/>
  <c r="L560" i="1"/>
  <c r="J545" i="1"/>
  <c r="F338" i="1"/>
  <c r="F352" i="1" s="1"/>
  <c r="G192" i="1"/>
  <c r="H192" i="1"/>
  <c r="L309" i="1"/>
  <c r="E16" i="13"/>
  <c r="C16" i="13" s="1"/>
  <c r="J655" i="1"/>
  <c r="J645" i="1"/>
  <c r="L570" i="1"/>
  <c r="G36" i="2"/>
  <c r="C12" i="12" l="1"/>
  <c r="C11" i="12"/>
  <c r="C10" i="12"/>
  <c r="C13" i="12" s="1"/>
  <c r="A13" i="12" s="1"/>
  <c r="C11" i="10"/>
  <c r="C19" i="12"/>
  <c r="C21" i="12"/>
  <c r="C20" i="12"/>
  <c r="L211" i="1"/>
  <c r="K503" i="1"/>
  <c r="K500" i="1"/>
  <c r="G338" i="1"/>
  <c r="G352" i="1" s="1"/>
  <c r="H661" i="1"/>
  <c r="K352" i="1"/>
  <c r="H33" i="13"/>
  <c r="K257" i="1"/>
  <c r="K271" i="1" s="1"/>
  <c r="K598" i="1"/>
  <c r="G647" i="1" s="1"/>
  <c r="J647" i="1" s="1"/>
  <c r="G552" i="1"/>
  <c r="K551" i="1"/>
  <c r="J636" i="1"/>
  <c r="G661" i="1"/>
  <c r="J338" i="1"/>
  <c r="J352" i="1" s="1"/>
  <c r="H662" i="1"/>
  <c r="L529" i="1"/>
  <c r="K549" i="1"/>
  <c r="F552" i="1"/>
  <c r="F661" i="1"/>
  <c r="I661" i="1" s="1"/>
  <c r="C15" i="10"/>
  <c r="D15" i="13"/>
  <c r="C15" i="13" s="1"/>
  <c r="J649" i="1"/>
  <c r="J552" i="1"/>
  <c r="H545" i="1"/>
  <c r="L544" i="1"/>
  <c r="I369" i="1"/>
  <c r="H634" i="1" s="1"/>
  <c r="J634" i="1" s="1"/>
  <c r="C16" i="10"/>
  <c r="C29" i="10"/>
  <c r="C12" i="10"/>
  <c r="H257" i="1"/>
  <c r="H271" i="1" s="1"/>
  <c r="E56" i="2"/>
  <c r="E63" i="2" s="1"/>
  <c r="H52" i="1"/>
  <c r="H619" i="1" s="1"/>
  <c r="L614" i="1"/>
  <c r="L565" i="1"/>
  <c r="L571" i="1" s="1"/>
  <c r="G545" i="1"/>
  <c r="L524" i="1"/>
  <c r="L545" i="1" s="1"/>
  <c r="L290" i="1"/>
  <c r="F660" i="1" s="1"/>
  <c r="E8" i="13"/>
  <c r="C8" i="13" s="1"/>
  <c r="D7" i="13"/>
  <c r="C7" i="13" s="1"/>
  <c r="C121" i="2"/>
  <c r="D145" i="2"/>
  <c r="L328" i="1"/>
  <c r="E128" i="2"/>
  <c r="E109" i="2"/>
  <c r="E115" i="2" s="1"/>
  <c r="C21" i="10"/>
  <c r="G651" i="1"/>
  <c r="J651" i="1" s="1"/>
  <c r="C20" i="10"/>
  <c r="C19" i="10"/>
  <c r="C18" i="10"/>
  <c r="D5" i="13"/>
  <c r="C5" i="13" s="1"/>
  <c r="C110" i="2"/>
  <c r="L247" i="1"/>
  <c r="L257" i="1" s="1"/>
  <c r="L271" i="1" s="1"/>
  <c r="G632" i="1" s="1"/>
  <c r="J632" i="1" s="1"/>
  <c r="C10" i="10"/>
  <c r="C109" i="2"/>
  <c r="F257" i="1"/>
  <c r="F271" i="1" s="1"/>
  <c r="C124" i="2"/>
  <c r="F662" i="1"/>
  <c r="E13" i="13"/>
  <c r="C13" i="13" s="1"/>
  <c r="C122" i="2"/>
  <c r="D12" i="13"/>
  <c r="C12" i="13" s="1"/>
  <c r="C13" i="10"/>
  <c r="F192" i="1"/>
  <c r="C78" i="2"/>
  <c r="C81" i="2" s="1"/>
  <c r="C63" i="2"/>
  <c r="C35" i="10"/>
  <c r="F112" i="1"/>
  <c r="J622" i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G50" i="2"/>
  <c r="G51" i="2" s="1"/>
  <c r="H648" i="1"/>
  <c r="J648" i="1" s="1"/>
  <c r="J652" i="1"/>
  <c r="J642" i="1"/>
  <c r="G571" i="1"/>
  <c r="I434" i="1"/>
  <c r="G434" i="1"/>
  <c r="I663" i="1"/>
  <c r="C27" i="10"/>
  <c r="G635" i="1"/>
  <c r="J635" i="1" s="1"/>
  <c r="C22" i="12" l="1"/>
  <c r="A22" i="12" s="1"/>
  <c r="K552" i="1"/>
  <c r="H646" i="1"/>
  <c r="G664" i="1"/>
  <c r="G672" i="1" s="1"/>
  <c r="C5" i="10" s="1"/>
  <c r="I662" i="1"/>
  <c r="D31" i="13"/>
  <c r="C31" i="13" s="1"/>
  <c r="L338" i="1"/>
  <c r="L352" i="1" s="1"/>
  <c r="G633" i="1" s="1"/>
  <c r="J633" i="1" s="1"/>
  <c r="F664" i="1"/>
  <c r="F672" i="1" s="1"/>
  <c r="C4" i="10" s="1"/>
  <c r="C115" i="2"/>
  <c r="E104" i="2"/>
  <c r="C128" i="2"/>
  <c r="G667" i="1"/>
  <c r="E145" i="2"/>
  <c r="H660" i="1"/>
  <c r="H664" i="1" s="1"/>
  <c r="H672" i="1" s="1"/>
  <c r="C6" i="10" s="1"/>
  <c r="C28" i="10"/>
  <c r="D20" i="10" s="1"/>
  <c r="E33" i="13"/>
  <c r="D35" i="13" s="1"/>
  <c r="C104" i="2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F667" i="1"/>
  <c r="C145" i="2"/>
  <c r="I660" i="1"/>
  <c r="I664" i="1" s="1"/>
  <c r="I672" i="1" s="1"/>
  <c r="C7" i="10" s="1"/>
  <c r="D13" i="10"/>
  <c r="D18" i="10"/>
  <c r="D26" i="10"/>
  <c r="D15" i="10"/>
  <c r="D11" i="10"/>
  <c r="D17" i="10"/>
  <c r="C30" i="10"/>
  <c r="D25" i="10"/>
  <c r="D21" i="10"/>
  <c r="D12" i="10"/>
  <c r="D16" i="10"/>
  <c r="D19" i="10"/>
  <c r="D22" i="10"/>
  <c r="D24" i="10"/>
  <c r="D23" i="10"/>
  <c r="D27" i="10"/>
  <c r="D10" i="10"/>
  <c r="H667" i="1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<sst xmlns="http://schemas.openxmlformats.org/spreadsheetml/2006/main" count="3960" uniqueCount="918">
  <si>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</si>
  <si>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</si>
  <si>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</si>
  <si>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</si>
  <si>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</si>
  <si>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</si>
  <si>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</si>
  <si>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</si>
  <si>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</si>
  <si>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</si>
  <si>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</si>
  <si>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</si>
  <si>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</si>
  <si>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</si>
  <si>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</si>
  <si>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</si>
  <si>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</si>
  <si>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</si>
  <si>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</si>
  <si>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</si>
  <si>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</si>
  <si>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</si>
  <si>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</si>
  <si>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</si>
  <si>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</si>
  <si>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</si>
  <si>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</si>
  <si>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</si>
  <si>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</si>
  <si>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</si>
  <si>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</si>
  <si>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</si>
  <si>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</si>
  <si>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</si>
  <si>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</si>
  <si>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</si>
  <si>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</si>
  <si>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</si>
  <si>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</si>
  <si>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</si>
  <si>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</si>
  <si>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</si>
  <si>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</si>
  <si>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</si>
  <si>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</si>
  <si>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</si>
  <si>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</si>
  <si>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</si>
  <si>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</si>
  <si>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</si>
  <si>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</si>
  <si>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</si>
  <si>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</si>
  <si>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</si>
  <si>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</si>
  <si>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</si>
  <si>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</si>
  <si>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</si>
  <si>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</si>
  <si>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</si>
  <si>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</si>
  <si>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</si>
  <si>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</si>
  <si>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</si>
  <si>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</si>
  <si>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</si>
  <si>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</si>
  <si>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</si>
  <si>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</si>
  <si>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</si>
  <si>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</si>
  <si>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</si>
  <si>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</si>
  <si>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</si>
  <si>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</si>
  <si>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</si>
  <si>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</si>
  <si>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</si>
  <si>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</si>
  <si>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</si>
  <si>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</si>
  <si>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</si>
  <si>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</si>
  <si>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</si>
  <si>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</si>
  <si>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</si>
  <si>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</si>
  <si>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</si>
  <si>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</si>
  <si>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</si>
  <si>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</si>
  <si>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</si>
  <si>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</si>
  <si>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</si>
  <si>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</si>
  <si>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</si>
  <si>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</si>
  <si>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</si>
  <si>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</si>
  <si>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</si>
  <si>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</si>
  <si>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</si>
  <si>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</si>
  <si>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</si>
  <si>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</si>
  <si>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</si>
  <si>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</si>
  <si>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</si>
  <si>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</si>
  <si>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</si>
  <si>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</si>
  <si>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</si>
  <si>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</si>
  <si>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</si>
  <si>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</si>
  <si>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</si>
  <si>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</si>
  <si>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</si>
  <si>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</si>
  <si>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</si>
  <si>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</si>
  <si>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</si>
  <si>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</si>
  <si>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</si>
  <si>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</si>
  <si>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</si>
  <si>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</si>
  <si>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</si>
  <si>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</si>
  <si>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</si>
  <si>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</si>
  <si>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</si>
  <si>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</si>
  <si>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</si>
  <si>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</si>
  <si>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</si>
  <si>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</si>
  <si>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</si>
  <si>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</si>
  <si>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</si>
  <si>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</si>
  <si>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</si>
  <si>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</si>
  <si>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</si>
  <si>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</si>
  <si>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</si>
  <si>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</si>
  <si>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</si>
  <si>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</si>
  <si>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</si>
  <si>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</si>
  <si>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</si>
  <si>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</si>
  <si>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</si>
  <si>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</si>
  <si>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</si>
  <si>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</si>
  <si>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</si>
  <si>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</si>
  <si>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</si>
  <si>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</si>
  <si>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</si>
  <si>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</si>
  <si>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</si>
  <si>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</si>
  <si>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</si>
  <si>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</si>
  <si>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</si>
  <si>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</si>
  <si>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</si>
  <si>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</si>
  <si>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</si>
  <si>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</si>
  <si>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</si>
  <si>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</si>
  <si>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</si>
  <si>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</si>
  <si>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</si>
  <si>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</si>
  <si>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</si>
  <si>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</si>
  <si>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</si>
  <si>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</si>
  <si>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</si>
  <si>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</si>
  <si>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</si>
  <si>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</si>
  <si>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</si>
  <si>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</si>
  <si>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</si>
  <si>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</si>
  <si>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</si>
  <si>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</si>
  <si>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</si>
  <si>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</si>
  <si>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</si>
  <si>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</si>
  <si>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</si>
  <si>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</si>
  <si>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</si>
  <si>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</si>
  <si>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</si>
  <si>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</si>
  <si>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</si>
  <si>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</si>
  <si>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</si>
  <si>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</si>
  <si>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</si>
  <si>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</si>
  <si>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</si>
  <si>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</si>
  <si>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</si>
  <si>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</si>
  <si>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</si>
  <si>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</si>
  <si>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</si>
  <si>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</si>
  <si>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</si>
  <si>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</si>
  <si>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</si>
  <si>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</si>
  <si>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</si>
  <si>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</si>
  <si>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</si>
  <si>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</si>
  <si>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</si>
  <si>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</si>
  <si>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</si>
  <si>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</si>
  <si>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</si>
  <si>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</si>
  <si>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</si>
  <si>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</si>
  <si>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</si>
  <si>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</si>
  <si>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</si>
  <si>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</si>
  <si>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</si>
  <si>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</si>
  <si>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</si>
  <si>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</si>
  <si>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</si>
  <si>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</si>
  <si>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</si>
  <si>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</si>
  <si>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</si>
  <si>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</si>
  <si>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</si>
  <si>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</si>
  <si>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</si>
  <si>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</si>
  <si>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</si>
  <si>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</si>
  <si>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</si>
  <si>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</si>
  <si>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</si>
  <si>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</si>
  <si>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</si>
  <si>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</si>
  <si>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</si>
  <si>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</si>
  <si>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</si>
  <si>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</si>
  <si>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</si>
  <si>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</si>
  <si>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</si>
  <si>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</si>
  <si>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</si>
  <si>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</si>
  <si>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</si>
  <si>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</si>
  <si>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</si>
  <si>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</si>
  <si>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</si>
  <si>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</si>
  <si>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</si>
  <si>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</si>
  <si>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</si>
  <si>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</si>
  <si>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</si>
  <si>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</si>
  <si>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</si>
  <si>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</si>
  <si>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</si>
  <si>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</si>
  <si>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</si>
  <si>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</si>
  <si>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</si>
  <si>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</si>
  <si>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</si>
  <si>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</si>
  <si>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</si>
  <si>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</si>
  <si>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</si>
  <si>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</si>
  <si>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</si>
  <si>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</si>
  <si>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</si>
  <si>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</si>
  <si>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</si>
  <si>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</si>
  <si>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</si>
  <si>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</si>
  <si>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</si>
  <si>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</si>
  <si>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</si>
  <si>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</si>
  <si>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</si>
  <si>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</si>
  <si>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</si>
  <si>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</si>
  <si>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</si>
  <si>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</si>
  <si>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</si>
  <si>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</si>
  <si>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</si>
  <si>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</si>
  <si>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</si>
  <si>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</si>
  <si>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</si>
  <si>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</si>
  <si>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</si>
  <si>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</si>
  <si>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</si>
  <si>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</si>
  <si>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</si>
  <si>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</si>
  <si>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</si>
  <si>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</si>
  <si>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</si>
  <si>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</si>
  <si>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</si>
  <si>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</si>
  <si>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</si>
  <si>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</si>
  <si>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</si>
  <si>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</si>
  <si>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</si>
  <si>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</si>
  <si>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</si>
  <si>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</si>
  <si>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</si>
  <si>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</si>
  <si>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</si>
  <si>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</si>
  <si>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</si>
  <si>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</si>
  <si>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</si>
  <si>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</si>
  <si>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</si>
  <si>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</si>
  <si>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</si>
  <si>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</si>
  <si>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</si>
  <si>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</si>
  <si>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</si>
  <si>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</si>
  <si>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</si>
  <si>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</si>
  <si>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</si>
  <si>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</si>
  <si>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</si>
  <si>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</si>
  <si>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</si>
  <si>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</si>
  <si>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</si>
  <si>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</si>
  <si>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</si>
  <si>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</si>
  <si>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</si>
  <si>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</si>
  <si>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</si>
  <si>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</si>
  <si>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</si>
  <si>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</si>
  <si>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</si>
  <si>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</si>
  <si>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</si>
  <si>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</si>
  <si>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</si>
  <si>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</si>
  <si>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</si>
  <si>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</si>
  <si>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</si>
  <si>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</si>
  <si>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</si>
  <si>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</si>
  <si>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</si>
  <si>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</si>
  <si>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</si>
  <si>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</si>
  <si>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</si>
  <si>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</si>
  <si>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</si>
  <si>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</si>
  <si>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</si>
  <si>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</si>
  <si>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</si>
  <si>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</si>
  <si>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</si>
  <si>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</si>
  <si>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</si>
  <si>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</si>
  <si>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</si>
  <si>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</si>
  <si>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</si>
  <si>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</si>
  <si>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</si>
  <si>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</si>
  <si>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</si>
  <si>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</si>
  <si>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</si>
  <si>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</si>
  <si>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</si>
  <si>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</si>
  <si>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</si>
  <si>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</si>
  <si>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</si>
  <si>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</si>
  <si>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</si>
  <si>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</si>
  <si>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</si>
  <si>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</si>
  <si>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</si>
  <si>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</si>
  <si>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</si>
  <si>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</si>
  <si>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</si>
  <si>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</si>
  <si>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</si>
  <si>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</si>
  <si>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</si>
  <si>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</si>
  <si>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</si>
  <si>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</si>
  <si>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</si>
  <si>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</si>
  <si>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</si>
  <si>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</si>
  <si>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</si>
  <si>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</si>
  <si>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</si>
  <si>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</si>
  <si>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</si>
  <si>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</si>
  <si>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</si>
  <si>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</si>
  <si>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</si>
  <si>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</si>
  <si>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</si>
  <si>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</si>
  <si>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</si>
  <si>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</si>
  <si>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</si>
  <si>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</si>
  <si>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</si>
  <si>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</si>
  <si>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</si>
  <si>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</si>
  <si>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</si>
  <si>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</si>
  <si>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</si>
  <si>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</si>
  <si>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</si>
  <si>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</si>
  <si>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</si>
  <si>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</si>
  <si>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</si>
  <si>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</si>
  <si>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</si>
  <si>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</si>
  <si>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</si>
  <si>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</si>
  <si>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</si>
  <si>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</si>
  <si>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</si>
  <si>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</si>
  <si>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</si>
  <si>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</si>
  <si>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</si>
  <si>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</si>
  <si>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</si>
  <si>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</si>
  <si>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</si>
  <si>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</si>
  <si>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</si>
  <si>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</si>
  <si>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</si>
  <si>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</si>
  <si>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</si>
  <si>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</si>
  <si>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</si>
  <si>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</si>
  <si>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</si>
  <si>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</si>
  <si>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</si>
  <si>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</si>
  <si>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</si>
  <si>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</si>
  <si>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</si>
  <si>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</si>
  <si>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</si>
  <si>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</si>
  <si>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</si>
  <si>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</si>
  <si>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</si>
  <si>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</si>
  <si>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</si>
  <si>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</si>
  <si>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</si>
  <si>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</si>
  <si>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</si>
  <si>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</si>
  <si>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</si>
  <si>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</si>
  <si>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</si>
  <si>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</si>
  <si>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</si>
  <si>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</si>
  <si>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</si>
  <si>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</si>
  <si>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</si>
  <si>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</si>
  <si>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</si>
  <si>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</si>
  <si>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</si>
  <si>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</si>
  <si>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</si>
  <si>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</si>
  <si>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</si>
  <si>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</si>
  <si>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</si>
  <si>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</si>
  <si>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</si>
  <si>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</si>
  <si>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</si>
  <si>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</si>
  <si>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</si>
  <si>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</si>
  <si>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</si>
  <si>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</si>
  <si>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</si>
  <si>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</si>
  <si>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</si>
  <si>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</si>
  <si>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</si>
  <si>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</si>
  <si>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</si>
  <si>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</si>
  <si>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</si>
  <si>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</si>
  <si>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</si>
  <si>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</si>
  <si>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</si>
  <si>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</si>
  <si>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</si>
  <si>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</si>
  <si>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</si>
  <si>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</si>
  <si>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</si>
  <si>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</si>
  <si>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</si>
  <si>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</si>
  <si>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</si>
  <si>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</si>
  <si>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</si>
  <si>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</si>
  <si>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</si>
  <si>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</si>
  <si>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</si>
  <si>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</si>
  <si>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</si>
  <si>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</si>
  <si>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</si>
  <si>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</si>
  <si>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</si>
  <si>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</si>
  <si>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</si>
  <si>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</si>
  <si>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</si>
  <si>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</si>
  <si>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</si>
  <si>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</si>
  <si>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</si>
  <si>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</si>
  <si>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</si>
  <si>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</si>
  <si>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</si>
  <si>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</si>
  <si>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</si>
  <si>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</si>
  <si>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</si>
  <si>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</si>
  <si>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</si>
  <si>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</si>
  <si>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</si>
  <si>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</si>
  <si>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</si>
  <si>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</si>
  <si>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</si>
  <si>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</si>
  <si>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</si>
  <si>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</si>
  <si>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</si>
  <si>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</si>
  <si>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</si>
  <si>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</si>
  <si>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</si>
  <si>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</si>
  <si>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</si>
  <si>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</si>
  <si>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</si>
  <si>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</si>
  <si>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</si>
  <si>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</si>
  <si>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</si>
  <si>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</si>
  <si>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</si>
  <si>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</si>
  <si>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</si>
  <si>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</si>
  <si>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</si>
  <si>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</si>
  <si>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</si>
  <si>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</si>
  <si>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</si>
  <si>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</si>
  <si>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</si>
  <si>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</si>
  <si>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</si>
  <si>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</si>
  <si>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</si>
  <si>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</si>
  <si>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</si>
  <si>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</si>
  <si>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</si>
  <si>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</si>
  <si>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</si>
  <si>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</si>
  <si>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</si>
  <si>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</si>
  <si>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</si>
  <si>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</si>
  <si>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</si>
  <si>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</si>
  <si>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</si>
  <si>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</si>
  <si>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</si>
  <si>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</si>
  <si>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</si>
  <si>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</si>
  <si>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</si>
  <si>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</si>
  <si>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</si>
  <si>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</si>
  <si>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</si>
  <si>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</si>
  <si>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</si>
  <si>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</si>
  <si>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</si>
  <si>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</si>
  <si>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</si>
  <si>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</si>
  <si>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</si>
  <si>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</si>
  <si>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</si>
  <si>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</si>
  <si>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</si>
  <si>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</si>
  <si>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</si>
  <si>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</si>
  <si>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</si>
  <si>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</si>
  <si>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</si>
  <si>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</si>
  <si>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</si>
  <si>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</si>
  <si>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</si>
  <si>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</si>
  <si>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</si>
  <si>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</si>
  <si>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</si>
  <si>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</si>
  <si>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</si>
  <si>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</si>
  <si>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</si>
  <si>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</si>
  <si>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</si>
  <si>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</si>
  <si>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</si>
  <si>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</si>
  <si>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</si>
  <si>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</si>
  <si>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</si>
  <si>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</si>
  <si>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</si>
  <si>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</si>
  <si>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</si>
  <si>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</si>
  <si>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</si>
  <si>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</si>
  <si>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</si>
  <si>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</si>
  <si>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</si>
  <si>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</si>
  <si>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</si>
  <si>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</si>
  <si>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</si>
  <si>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</si>
  <si>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</si>
  <si>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</si>
  <si>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</si>
  <si>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</si>
  <si>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</si>
  <si>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</si>
  <si>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</si>
  <si>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</si>
  <si>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</si>
  <si>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</si>
  <si>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</si>
  <si>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</si>
  <si>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</si>
  <si>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</si>
  <si>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</si>
  <si>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</si>
  <si>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</si>
  <si>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</si>
  <si>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</si>
  <si>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</si>
  <si>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</si>
  <si>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</si>
  <si>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</si>
  <si>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</si>
  <si>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</si>
  <si>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</si>
  <si>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</si>
  <si>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</si>
  <si>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</si>
  <si>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</si>
  <si>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</si>
  <si>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</si>
  <si>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</si>
  <si>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</si>
  <si>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</si>
  <si>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</si>
  <si>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</si>
  <si>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</si>
  <si>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</si>
  <si>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</si>
  <si>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</si>
  <si>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</si>
  <si>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</si>
  <si>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</si>
  <si>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</si>
  <si>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</si>
  <si>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</si>
  <si>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</si>
  <si>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</si>
  <si>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</si>
  <si>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</si>
  <si>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</si>
  <si>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</si>
  <si>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</si>
  <si>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</si>
  <si>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</si>
  <si>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</si>
  <si>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</si>
  <si>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</si>
  <si>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</si>
  <si>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</si>
  <si>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</si>
  <si>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</si>
  <si>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</si>
  <si>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</si>
  <si>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</si>
  <si>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</si>
  <si>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</si>
  <si>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</si>
  <si>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</si>
  <si>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</si>
  <si>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</si>
  <si>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</si>
  <si>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</si>
  <si>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</si>
  <si>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</si>
  <si>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</si>
  <si>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</si>
  <si>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</si>
  <si>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</si>
  <si>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</si>
  <si>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</si>
  <si>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</si>
  <si>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</si>
  <si>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</si>
  <si>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</si>
  <si>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</si>
  <si>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</si>
  <si>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</si>
  <si>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</si>
  <si>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</si>
  <si>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</si>
  <si>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</si>
  <si>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</si>
  <si>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</si>
  <si>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</si>
  <si>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</si>
  <si>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</si>
  <si>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</si>
  <si>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</si>
  <si>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</si>
  <si>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</si>
  <si>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</si>
  <si>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</si>
  <si>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</si>
  <si>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</si>
  <si>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</si>
  <si>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</si>
  <si>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</si>
  <si>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</si>
  <si>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</si>
  <si>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</si>
  <si>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</si>
  <si>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</si>
  <si>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</si>
  <si>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</si>
  <si>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</si>
  <si>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</si>
  <si>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</si>
  <si>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</si>
  <si>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</si>
  <si>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</si>
  <si>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</si>
  <si>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</si>
  <si>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</si>
  <si>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</si>
  <si>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</si>
  <si>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</si>
  <si>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</si>
  <si>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</si>
  <si>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</si>
  <si>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</si>
  <si>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</si>
  <si>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</si>
  <si>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</si>
  <si>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</si>
  <si>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</si>
  <si>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</si>
  <si>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</si>
  <si>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</si>
  <si>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</si>
  <si>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</si>
  <si>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</si>
  <si>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</si>
  <si>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</si>
  <si>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</si>
  <si>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</si>
  <si>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</si>
  <si>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</si>
  <si>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</si>
  <si>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</si>
  <si>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</si>
  <si>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</si>
  <si>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</si>
  <si>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</si>
  <si>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</si>
  <si>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</si>
  <si>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</si>
  <si>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</si>
  <si>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</si>
  <si>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</si>
  <si>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</si>
  <si>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</si>
  <si>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</si>
  <si>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</si>
  <si>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</si>
  <si>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</si>
  <si>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</si>
  <si>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</si>
  <si>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</si>
  <si>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</si>
  <si>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</si>
  <si>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</si>
  <si>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</si>
  <si>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</si>
  <si>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</si>
  <si>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</si>
  <si>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</si>
  <si>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</si>
  <si>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</si>
  <si>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</si>
  <si>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</si>
  <si>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</si>
  <si>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</si>
  <si>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</si>
  <si>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</si>
  <si>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</si>
  <si>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</si>
  <si>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</si>
  <si>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</si>
  <si>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</si>
  <si>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</si>
  <si>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</si>
  <si>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</si>
  <si>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</si>
  <si>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</si>
  <si>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</si>
  <si>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</si>
  <si>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</si>
  <si>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</si>
  <si>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</si>
  <si>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</si>
  <si>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06/05</t>
  </si>
  <si>
    <t>06/08</t>
  </si>
  <si>
    <t>07/25</t>
  </si>
  <si>
    <t>06/18</t>
  </si>
  <si>
    <t>Other revenue includes other local revenue, LGC Refund, and Impact Fees</t>
  </si>
  <si>
    <t xml:space="preserve">USDA Commodities included in Federal Child Nutrition Revenue </t>
  </si>
  <si>
    <t>Windham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</si>
</sst>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917</v>
      </c>
      <c r="B2" s="21">
        <v>575</v>
      </c>
      <c r="C2" s="21">
        <v>575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1409978.32</v>
      </c>
      <c r="G9" s="18"/>
      <c r="H9" s="18"/>
      <c r="I9" s="18"/>
      <c r="J9" s="67">
        <f>SUM(I439)</f>
        <v>215508.94999999998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179823.51</v>
      </c>
      <c r="H12" s="18"/>
      <c r="I12" s="18">
        <v>0</v>
      </c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143429.51999999999</v>
      </c>
      <c r="G13" s="18">
        <v>8498.5300000000007</v>
      </c>
      <c r="H13" s="18">
        <v>149151.34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19546.189999999999</v>
      </c>
      <c r="G14" s="18">
        <v>536.5</v>
      </c>
      <c r="H14" s="18">
        <v>50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20914.3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>
        <v>1002</v>
      </c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1572954.03</v>
      </c>
      <c r="G19" s="41">
        <f>SUM(G9:G18)</f>
        <v>209772.84</v>
      </c>
      <c r="H19" s="41">
        <f>SUM(H9:H18)</f>
        <v>150203.34</v>
      </c>
      <c r="I19" s="41">
        <f>SUM(I9:I18)</f>
        <v>0</v>
      </c>
      <c r="J19" s="41">
        <f>SUM(J9:J18)</f>
        <v>215508.94999999998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125270.9</v>
      </c>
      <c r="G22" s="18"/>
      <c r="H22" s="18">
        <v>54552.6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21353.919999999998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49395.29</v>
      </c>
      <c r="G24" s="18"/>
      <c r="H24" s="18">
        <v>0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31631.72</v>
      </c>
      <c r="G30" s="18">
        <v>30021.42</v>
      </c>
      <c r="H30" s="18">
        <v>55972.55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227651.83000000002</v>
      </c>
      <c r="G32" s="41">
        <f>SUM(G22:G31)</f>
        <v>30021.42</v>
      </c>
      <c r="H32" s="41">
        <f>SUM(H22:H31)</f>
        <v>110525.15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20914.3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158837.12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625375.9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v>39678.19</v>
      </c>
      <c r="I48" s="18">
        <v>0</v>
      </c>
      <c r="J48" s="13">
        <f>SUM(I459)</f>
        <v>215508.94999999998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719926.3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1345302.2000000002</v>
      </c>
      <c r="G51" s="41">
        <f>SUM(G35:G50)</f>
        <v>179751.41999999998</v>
      </c>
      <c r="H51" s="41">
        <f>SUM(H35:H50)</f>
        <v>39678.19</v>
      </c>
      <c r="I51" s="41">
        <f>SUM(I35:I50)</f>
        <v>0</v>
      </c>
      <c r="J51" s="41">
        <f>SUM(J35:J50)</f>
        <v>215508.94999999998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1572954.0300000003</v>
      </c>
      <c r="G52" s="41">
        <f>G51+G32</f>
        <v>209772.83999999997</v>
      </c>
      <c r="H52" s="41">
        <f>H51+H32</f>
        <v>150203.34</v>
      </c>
      <c r="I52" s="41">
        <f>I51+I32</f>
        <v>0</v>
      </c>
      <c r="J52" s="41">
        <f>J51+J32</f>
        <v>215508.94999999998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38819733-5006733</f>
        <v>33813000</v>
      </c>
      <c r="G57" s="18"/>
      <c r="H57" s="18">
        <v>24114.240000000002</v>
      </c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33813000</v>
      </c>
      <c r="G60" s="41">
        <f>SUM(G57:G59)</f>
        <v>0</v>
      </c>
      <c r="H60" s="41">
        <f>SUM(H57:H59)</f>
        <v>24114.240000000002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>
        <v>839.82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>
        <v>89857.5</v>
      </c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90697.32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>
        <v>18.78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741091.03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18000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12359.51</v>
      </c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4524.84</v>
      </c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677464.46</v>
      </c>
      <c r="G110" s="18">
        <v>6607.26</v>
      </c>
      <c r="H110" s="18">
        <v>34340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712348.80999999994</v>
      </c>
      <c r="G111" s="41">
        <f>SUM(G96:G110)</f>
        <v>747698.29</v>
      </c>
      <c r="H111" s="41">
        <f>SUM(H96:H110)</f>
        <v>34340</v>
      </c>
      <c r="I111" s="41">
        <f>SUM(I96:I110)</f>
        <v>0</v>
      </c>
      <c r="J111" s="41">
        <f>SUM(J96:J110)</f>
        <v>18.78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34525348.810000002</v>
      </c>
      <c r="G112" s="41">
        <f>G60+G111</f>
        <v>747698.29</v>
      </c>
      <c r="H112" s="41">
        <f>H60+H79+H94+H111</f>
        <v>149151.56</v>
      </c>
      <c r="I112" s="41">
        <f>I60+I111</f>
        <v>0</v>
      </c>
      <c r="J112" s="41">
        <f>J60+J111</f>
        <v>18.78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2585071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5006733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7591804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961486.4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378583.19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6825.2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10278.790000000001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946.56</v>
      </c>
      <c r="G135" s="18"/>
      <c r="H135" s="18">
        <v>14529.18</v>
      </c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1347841.35</v>
      </c>
      <c r="G136" s="41">
        <f>SUM(G123:G135)</f>
        <v>10278.790000000001</v>
      </c>
      <c r="H136" s="41">
        <f>SUM(H123:H135)</f>
        <v>14529.18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8939645.3499999996</v>
      </c>
      <c r="G140" s="41">
        <f>G121+SUM(G136:G137)</f>
        <v>10278.790000000001</v>
      </c>
      <c r="H140" s="41">
        <f>H121+SUM(H136:H139)</f>
        <v>14529.18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45749.18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30938.22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140118.57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495693.41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170189.03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170189.03</v>
      </c>
      <c r="G162" s="41">
        <f>SUM(G150:G161)</f>
        <v>140118.57</v>
      </c>
      <c r="H162" s="41">
        <f>SUM(H150:H161)</f>
        <v>572380.80999999994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170189.03</v>
      </c>
      <c r="G169" s="41">
        <f>G147+G162+SUM(G163:G168)</f>
        <v>140118.57</v>
      </c>
      <c r="H169" s="41">
        <f>H147+H162+SUM(H163:H168)</f>
        <v>572380.80999999994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4128.9399999999996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9669.02</v>
      </c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13797.96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125900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125900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139697.96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43774881.150000006</v>
      </c>
      <c r="G193" s="47">
        <f>G112+G140+G169+G192</f>
        <v>898095.65000000014</v>
      </c>
      <c r="H193" s="47">
        <f>H112+H140+H169+H192</f>
        <v>736061.54999999993</v>
      </c>
      <c r="I193" s="47">
        <f>I112+I140+I169+I192</f>
        <v>0</v>
      </c>
      <c r="J193" s="47">
        <f>J112+J140+J192</f>
        <v>18.78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7177186.6200000001</v>
      </c>
      <c r="G197" s="18">
        <v>3568290.54</v>
      </c>
      <c r="H197" s="18">
        <v>41973.38</v>
      </c>
      <c r="I197" s="18">
        <v>345803.47</v>
      </c>
      <c r="J197" s="18">
        <v>80920.850000000006</v>
      </c>
      <c r="K197" s="18">
        <v>4866.21</v>
      </c>
      <c r="L197" s="19">
        <f>SUM(F197:K197)</f>
        <v>11219041.070000002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2638436.9700000002</v>
      </c>
      <c r="G198" s="18">
        <v>1296096.3999999999</v>
      </c>
      <c r="H198" s="18">
        <v>946385.8</v>
      </c>
      <c r="I198" s="18">
        <v>32236.66</v>
      </c>
      <c r="J198" s="18">
        <v>12548.79</v>
      </c>
      <c r="K198" s="18">
        <v>17257.95</v>
      </c>
      <c r="L198" s="19">
        <f>SUM(F198:K198)</f>
        <v>4942962.57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205763.78</v>
      </c>
      <c r="G200" s="18">
        <v>99119.18</v>
      </c>
      <c r="H200" s="18">
        <v>9700</v>
      </c>
      <c r="I200" s="18">
        <v>9158.4</v>
      </c>
      <c r="J200" s="18">
        <v>0</v>
      </c>
      <c r="K200" s="18">
        <v>0</v>
      </c>
      <c r="L200" s="19">
        <f>SUM(F200:K200)</f>
        <v>323741.36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1408932.13</v>
      </c>
      <c r="G202" s="18">
        <v>793024.73</v>
      </c>
      <c r="H202" s="18">
        <v>153322.65</v>
      </c>
      <c r="I202" s="18">
        <v>49944.1</v>
      </c>
      <c r="J202" s="18">
        <v>20373.53</v>
      </c>
      <c r="K202" s="18">
        <v>9904.98</v>
      </c>
      <c r="L202" s="19">
        <f t="shared" ref="L202:L208" si="0">SUM(F202:K202)</f>
        <v>2435502.1199999996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530033.61</v>
      </c>
      <c r="G203" s="18">
        <v>373346.14</v>
      </c>
      <c r="H203" s="18">
        <v>100645.16</v>
      </c>
      <c r="I203" s="18">
        <v>115011.99</v>
      </c>
      <c r="J203" s="18">
        <v>137885.09</v>
      </c>
      <c r="K203" s="18">
        <v>91017.79</v>
      </c>
      <c r="L203" s="19">
        <f t="shared" si="0"/>
        <v>1347939.7800000003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278496.58</v>
      </c>
      <c r="G204" s="18">
        <v>99119.18</v>
      </c>
      <c r="H204" s="18">
        <v>98073.76</v>
      </c>
      <c r="I204" s="18">
        <v>28293.34</v>
      </c>
      <c r="J204" s="18">
        <v>0</v>
      </c>
      <c r="K204" s="18">
        <v>38912.71</v>
      </c>
      <c r="L204" s="19">
        <f t="shared" si="0"/>
        <v>542895.57000000007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704436.75</v>
      </c>
      <c r="G205" s="18">
        <v>396476.73</v>
      </c>
      <c r="H205" s="18">
        <v>49380.07</v>
      </c>
      <c r="I205" s="18">
        <v>21950.77</v>
      </c>
      <c r="J205" s="18">
        <v>20696</v>
      </c>
      <c r="K205" s="18">
        <v>10385.450000000001</v>
      </c>
      <c r="L205" s="19">
        <f t="shared" si="0"/>
        <v>1203325.77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240264.78</v>
      </c>
      <c r="G206" s="18">
        <v>99119.18</v>
      </c>
      <c r="H206" s="18">
        <v>3858.1</v>
      </c>
      <c r="I206" s="18">
        <v>2680.63</v>
      </c>
      <c r="J206" s="18">
        <v>0</v>
      </c>
      <c r="K206" s="18">
        <v>0</v>
      </c>
      <c r="L206" s="19">
        <f t="shared" si="0"/>
        <v>345922.68999999994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598184.47</v>
      </c>
      <c r="G207" s="18">
        <v>297357.55</v>
      </c>
      <c r="H207" s="18">
        <v>1192205.26</v>
      </c>
      <c r="I207" s="18">
        <v>573156.36</v>
      </c>
      <c r="J207" s="18">
        <v>8031.38</v>
      </c>
      <c r="K207" s="18">
        <v>0</v>
      </c>
      <c r="L207" s="19">
        <f t="shared" si="0"/>
        <v>2668935.02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0</v>
      </c>
      <c r="G208" s="18"/>
      <c r="H208" s="18">
        <v>1336810.1499999999</v>
      </c>
      <c r="I208" s="18">
        <v>107024.7</v>
      </c>
      <c r="J208" s="18">
        <v>0</v>
      </c>
      <c r="K208" s="18">
        <v>0</v>
      </c>
      <c r="L208" s="19">
        <f t="shared" si="0"/>
        <v>1443834.8499999999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>
        <v>67368.240000000005</v>
      </c>
      <c r="I209" s="18"/>
      <c r="J209" s="18"/>
      <c r="K209" s="18">
        <v>1551.6</v>
      </c>
      <c r="L209" s="19">
        <f>SUM(F209:K209)</f>
        <v>68919.840000000011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13781735.689999999</v>
      </c>
      <c r="G211" s="41">
        <f t="shared" si="1"/>
        <v>7021949.629999998</v>
      </c>
      <c r="H211" s="41">
        <f t="shared" si="1"/>
        <v>3999722.5700000003</v>
      </c>
      <c r="I211" s="41">
        <f t="shared" si="1"/>
        <v>1285260.42</v>
      </c>
      <c r="J211" s="41">
        <f t="shared" si="1"/>
        <v>280455.64</v>
      </c>
      <c r="K211" s="41">
        <f t="shared" si="1"/>
        <v>173896.69</v>
      </c>
      <c r="L211" s="41">
        <f t="shared" si="1"/>
        <v>26543020.640000004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3222118.18</v>
      </c>
      <c r="G233" s="18">
        <v>1585906.92</v>
      </c>
      <c r="H233" s="18">
        <v>3398.36</v>
      </c>
      <c r="I233" s="18">
        <v>192644.37</v>
      </c>
      <c r="J233" s="18">
        <v>56436.73</v>
      </c>
      <c r="K233" s="18">
        <v>9705.56</v>
      </c>
      <c r="L233" s="19">
        <f>SUM(F233:K233)</f>
        <v>5070210.12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947816.77</v>
      </c>
      <c r="G234" s="18">
        <v>498530.87</v>
      </c>
      <c r="H234" s="18">
        <v>372234.65</v>
      </c>
      <c r="I234" s="18">
        <v>10598.92</v>
      </c>
      <c r="J234" s="18">
        <v>2104.44</v>
      </c>
      <c r="K234" s="18">
        <v>7335.88</v>
      </c>
      <c r="L234" s="19">
        <f>SUM(F234:K234)</f>
        <v>1838621.5299999998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0</v>
      </c>
      <c r="G235" s="18"/>
      <c r="H235" s="18">
        <v>47047.68</v>
      </c>
      <c r="I235" s="18"/>
      <c r="J235" s="18"/>
      <c r="K235" s="18"/>
      <c r="L235" s="19">
        <f>SUM(F235:K235)</f>
        <v>47047.68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323761.21000000002</v>
      </c>
      <c r="G236" s="18">
        <v>198238.36</v>
      </c>
      <c r="H236" s="18">
        <v>54824.800000000003</v>
      </c>
      <c r="I236" s="18">
        <v>34214.35</v>
      </c>
      <c r="J236" s="18">
        <v>27787.09</v>
      </c>
      <c r="K236" s="18">
        <v>71895.929999999993</v>
      </c>
      <c r="L236" s="19">
        <f>SUM(F236:K236)</f>
        <v>710721.74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505540.08</v>
      </c>
      <c r="G238" s="18">
        <v>198266.08</v>
      </c>
      <c r="H238" s="18">
        <v>61995.66</v>
      </c>
      <c r="I238" s="18">
        <v>19599.349999999999</v>
      </c>
      <c r="J238" s="18">
        <v>2154.6</v>
      </c>
      <c r="K238" s="18">
        <v>3479.72</v>
      </c>
      <c r="L238" s="19">
        <f t="shared" ref="L238:L244" si="4">SUM(F238:K238)</f>
        <v>791035.49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354220.31</v>
      </c>
      <c r="G239" s="18">
        <v>128670.3</v>
      </c>
      <c r="H239" s="18">
        <v>70349.45</v>
      </c>
      <c r="I239" s="18">
        <v>52524.36</v>
      </c>
      <c r="J239" s="18">
        <v>262009.14</v>
      </c>
      <c r="K239" s="18">
        <v>35395.81</v>
      </c>
      <c r="L239" s="19">
        <f t="shared" si="4"/>
        <v>903169.36999999988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108304.22</v>
      </c>
      <c r="G240" s="18">
        <v>99119.18</v>
      </c>
      <c r="H240" s="18">
        <v>38139.79</v>
      </c>
      <c r="I240" s="18">
        <v>11002.96</v>
      </c>
      <c r="J240" s="18">
        <v>0</v>
      </c>
      <c r="K240" s="18">
        <v>15132.72</v>
      </c>
      <c r="L240" s="19">
        <f t="shared" si="4"/>
        <v>271698.87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254173.55</v>
      </c>
      <c r="G241" s="18">
        <v>99119.18</v>
      </c>
      <c r="H241" s="18">
        <v>27333.25</v>
      </c>
      <c r="I241" s="18">
        <v>6761.7</v>
      </c>
      <c r="J241" s="18">
        <v>3923.95</v>
      </c>
      <c r="K241" s="18">
        <v>16338.3</v>
      </c>
      <c r="L241" s="19">
        <f t="shared" si="4"/>
        <v>407649.93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93436.31</v>
      </c>
      <c r="G242" s="18">
        <v>99119.18</v>
      </c>
      <c r="H242" s="18">
        <v>1500.37</v>
      </c>
      <c r="I242" s="18">
        <v>1042.47</v>
      </c>
      <c r="J242" s="18">
        <v>0</v>
      </c>
      <c r="K242" s="18">
        <v>0</v>
      </c>
      <c r="L242" s="19">
        <f t="shared" si="4"/>
        <v>195098.33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257375.4</v>
      </c>
      <c r="G243" s="18">
        <v>99119.18</v>
      </c>
      <c r="H243" s="18">
        <v>426906.92</v>
      </c>
      <c r="I243" s="18">
        <v>511746.1</v>
      </c>
      <c r="J243" s="18">
        <v>1307</v>
      </c>
      <c r="K243" s="18">
        <v>0</v>
      </c>
      <c r="L243" s="19">
        <f t="shared" si="4"/>
        <v>1296454.6000000001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0</v>
      </c>
      <c r="G244" s="18"/>
      <c r="H244" s="18">
        <v>740664.31999999995</v>
      </c>
      <c r="I244" s="18">
        <v>41620.720000000001</v>
      </c>
      <c r="J244" s="18">
        <v>0</v>
      </c>
      <c r="K244" s="18">
        <v>0</v>
      </c>
      <c r="L244" s="19">
        <f t="shared" si="4"/>
        <v>782285.03999999992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>
        <v>26198.76</v>
      </c>
      <c r="I245" s="18"/>
      <c r="J245" s="18"/>
      <c r="K245" s="18">
        <v>603.4</v>
      </c>
      <c r="L245" s="19">
        <f>SUM(F245:K245)</f>
        <v>26802.16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6066746.0299999993</v>
      </c>
      <c r="G247" s="41">
        <f t="shared" si="5"/>
        <v>3006089.2500000005</v>
      </c>
      <c r="H247" s="41">
        <f t="shared" si="5"/>
        <v>1870594.01</v>
      </c>
      <c r="I247" s="41">
        <f t="shared" si="5"/>
        <v>881755.3</v>
      </c>
      <c r="J247" s="41">
        <f t="shared" si="5"/>
        <v>355722.95</v>
      </c>
      <c r="K247" s="41">
        <f t="shared" si="5"/>
        <v>159887.31999999998</v>
      </c>
      <c r="L247" s="41">
        <f t="shared" si="5"/>
        <v>12340794.859999998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542860.22</v>
      </c>
      <c r="I255" s="18"/>
      <c r="J255" s="18"/>
      <c r="K255" s="18"/>
      <c r="L255" s="19">
        <f t="shared" si="6"/>
        <v>542860.22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542860.22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542860.22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19848481.719999999</v>
      </c>
      <c r="G257" s="41">
        <f t="shared" si="8"/>
        <v>10028038.879999999</v>
      </c>
      <c r="H257" s="41">
        <f t="shared" si="8"/>
        <v>6413176.7999999998</v>
      </c>
      <c r="I257" s="41">
        <f t="shared" si="8"/>
        <v>2167015.7199999997</v>
      </c>
      <c r="J257" s="41">
        <f t="shared" si="8"/>
        <v>636178.59000000008</v>
      </c>
      <c r="K257" s="41">
        <f t="shared" si="8"/>
        <v>333784.01</v>
      </c>
      <c r="L257" s="41">
        <f t="shared" si="8"/>
        <v>39426675.719999999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2950000</v>
      </c>
      <c r="L260" s="19">
        <f>SUM(F260:K260)</f>
        <v>2950000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1032287.5</v>
      </c>
      <c r="L261" s="19">
        <f>SUM(F261:K261)</f>
        <v>1032287.5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3982287.5</v>
      </c>
      <c r="L270" s="41">
        <f t="shared" si="9"/>
        <v>3982287.5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19848481.719999999</v>
      </c>
      <c r="G271" s="42">
        <f t="shared" si="11"/>
        <v>10028038.879999999</v>
      </c>
      <c r="H271" s="42">
        <f t="shared" si="11"/>
        <v>6413176.7999999998</v>
      </c>
      <c r="I271" s="42">
        <f t="shared" si="11"/>
        <v>2167015.7199999997</v>
      </c>
      <c r="J271" s="42">
        <f t="shared" si="11"/>
        <v>636178.59000000008</v>
      </c>
      <c r="K271" s="42">
        <f t="shared" si="11"/>
        <v>4316071.51</v>
      </c>
      <c r="L271" s="42">
        <f t="shared" si="11"/>
        <v>43408963.219999999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78125.15</f>
        <v>78125.149999999994</v>
      </c>
      <c r="G276" s="18">
        <f>23789.04</f>
        <v>23789.040000000001</v>
      </c>
      <c r="H276" s="18">
        <v>504</v>
      </c>
      <c r="I276" s="18">
        <v>1465.76</v>
      </c>
      <c r="J276" s="18"/>
      <c r="K276" s="18"/>
      <c r="L276" s="19">
        <f>SUM(F276:K276)</f>
        <v>103883.95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267510.64</v>
      </c>
      <c r="G277" s="18">
        <f>97415.75+26566.29</f>
        <v>123982.04000000001</v>
      </c>
      <c r="H277" s="18">
        <v>3154</v>
      </c>
      <c r="I277" s="18">
        <v>870.64</v>
      </c>
      <c r="J277" s="18">
        <v>5131.2700000000004</v>
      </c>
      <c r="K277" s="18"/>
      <c r="L277" s="19">
        <f>SUM(F277:K277)</f>
        <v>400648.59000000008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43973.06</v>
      </c>
      <c r="G279" s="18">
        <v>7478.16</v>
      </c>
      <c r="H279" s="18"/>
      <c r="I279" s="18">
        <v>4180.7700000000004</v>
      </c>
      <c r="J279" s="18"/>
      <c r="K279" s="18"/>
      <c r="L279" s="19">
        <f>SUM(F279:K279)</f>
        <v>55631.990000000005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0</v>
      </c>
      <c r="G282" s="18"/>
      <c r="H282" s="18">
        <v>20583.060000000001</v>
      </c>
      <c r="I282" s="18">
        <v>1821.77</v>
      </c>
      <c r="J282" s="18"/>
      <c r="K282" s="18"/>
      <c r="L282" s="19">
        <f t="shared" si="12"/>
        <v>22404.83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1350</v>
      </c>
      <c r="G283" s="18">
        <v>197.8</v>
      </c>
      <c r="H283" s="18"/>
      <c r="I283" s="18"/>
      <c r="J283" s="18"/>
      <c r="K283" s="18"/>
      <c r="L283" s="19">
        <f t="shared" si="12"/>
        <v>1547.8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>
        <v>13690.84</v>
      </c>
      <c r="G286" s="18">
        <v>2183.48</v>
      </c>
      <c r="H286" s="18">
        <v>5472.54</v>
      </c>
      <c r="I286" s="18">
        <v>6476.41</v>
      </c>
      <c r="J286" s="18"/>
      <c r="K286" s="18"/>
      <c r="L286" s="19">
        <f t="shared" si="12"/>
        <v>27823.27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404649.69000000006</v>
      </c>
      <c r="G290" s="42">
        <f t="shared" si="13"/>
        <v>157630.52000000002</v>
      </c>
      <c r="H290" s="42">
        <f t="shared" si="13"/>
        <v>29713.600000000002</v>
      </c>
      <c r="I290" s="42">
        <f t="shared" si="13"/>
        <v>14815.35</v>
      </c>
      <c r="J290" s="42">
        <f t="shared" si="13"/>
        <v>5131.2700000000004</v>
      </c>
      <c r="K290" s="42">
        <f t="shared" si="13"/>
        <v>0</v>
      </c>
      <c r="L290" s="41">
        <f t="shared" si="13"/>
        <v>611940.43000000017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499.8</v>
      </c>
      <c r="G314" s="18">
        <f>8210.23</f>
        <v>8210.23</v>
      </c>
      <c r="H314" s="18"/>
      <c r="I314" s="18">
        <v>54.71</v>
      </c>
      <c r="J314" s="18">
        <v>0</v>
      </c>
      <c r="K314" s="18"/>
      <c r="L314" s="19">
        <f>SUM(F314:K314)</f>
        <v>8764.739999999998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16279.2</v>
      </c>
      <c r="G315" s="18">
        <v>11317.61</v>
      </c>
      <c r="H315" s="18">
        <v>721</v>
      </c>
      <c r="I315" s="18">
        <v>338.58</v>
      </c>
      <c r="J315" s="18"/>
      <c r="K315" s="18"/>
      <c r="L315" s="19">
        <f>SUM(F315:K315)</f>
        <v>28656.390000000003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25308.14</v>
      </c>
      <c r="G317" s="18">
        <v>3346.96</v>
      </c>
      <c r="H317" s="18"/>
      <c r="I317" s="18">
        <v>1625.85</v>
      </c>
      <c r="J317" s="18"/>
      <c r="K317" s="18"/>
      <c r="L317" s="19">
        <f>SUM(F317:K317)</f>
        <v>30280.949999999997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0</v>
      </c>
      <c r="G320" s="18"/>
      <c r="H320" s="18">
        <v>5766.04</v>
      </c>
      <c r="I320" s="18">
        <f>37527.6+708.47</f>
        <v>38236.07</v>
      </c>
      <c r="J320" s="18"/>
      <c r="K320" s="18"/>
      <c r="L320" s="19">
        <f t="shared" si="16"/>
        <v>44002.11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>
        <v>5324.21</v>
      </c>
      <c r="G324" s="18">
        <v>849.13</v>
      </c>
      <c r="H324" s="18">
        <v>2128.21</v>
      </c>
      <c r="I324" s="18">
        <v>2518.6</v>
      </c>
      <c r="J324" s="18"/>
      <c r="K324" s="18"/>
      <c r="L324" s="19">
        <f t="shared" si="16"/>
        <v>10820.15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47411.35</v>
      </c>
      <c r="G328" s="42">
        <f t="shared" si="17"/>
        <v>23723.93</v>
      </c>
      <c r="H328" s="42">
        <f t="shared" si="17"/>
        <v>8615.25</v>
      </c>
      <c r="I328" s="42">
        <f t="shared" si="17"/>
        <v>42773.81</v>
      </c>
      <c r="J328" s="42">
        <f t="shared" si="17"/>
        <v>0</v>
      </c>
      <c r="K328" s="42">
        <f t="shared" si="17"/>
        <v>0</v>
      </c>
      <c r="L328" s="41">
        <f t="shared" si="17"/>
        <v>122524.34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452061.04000000004</v>
      </c>
      <c r="G338" s="41">
        <f t="shared" si="20"/>
        <v>181354.45</v>
      </c>
      <c r="H338" s="41">
        <f t="shared" si="20"/>
        <v>38328.850000000006</v>
      </c>
      <c r="I338" s="41">
        <f t="shared" si="20"/>
        <v>57589.159999999996</v>
      </c>
      <c r="J338" s="41">
        <f t="shared" si="20"/>
        <v>5131.2700000000004</v>
      </c>
      <c r="K338" s="41">
        <f t="shared" si="20"/>
        <v>0</v>
      </c>
      <c r="L338" s="41">
        <f t="shared" si="20"/>
        <v>734464.77000000014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4128.9399999999996</v>
      </c>
      <c r="L344" s="19">
        <f t="shared" ref="L344:L350" si="21">SUM(F344:K344)</f>
        <v>4128.9399999999996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4128.9399999999996</v>
      </c>
      <c r="L351" s="41">
        <f>SUM(L341:L350)</f>
        <v>4128.9399999999996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452061.04000000004</v>
      </c>
      <c r="G352" s="41">
        <f>G338</f>
        <v>181354.45</v>
      </c>
      <c r="H352" s="41">
        <f>H338</f>
        <v>38328.850000000006</v>
      </c>
      <c r="I352" s="41">
        <f>I338</f>
        <v>57589.159999999996</v>
      </c>
      <c r="J352" s="41">
        <f>J338</f>
        <v>5131.2700000000004</v>
      </c>
      <c r="K352" s="47">
        <f>K338+K351</f>
        <v>4128.9399999999996</v>
      </c>
      <c r="L352" s="41">
        <f>L338+L351</f>
        <v>738593.71000000008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195021.77</v>
      </c>
      <c r="G358" s="18">
        <v>56797.06</v>
      </c>
      <c r="H358" s="18">
        <v>5697.11</v>
      </c>
      <c r="I358" s="18">
        <v>248188.37</v>
      </c>
      <c r="J358" s="18">
        <v>18148.66</v>
      </c>
      <c r="K358" s="18">
        <v>772.7</v>
      </c>
      <c r="L358" s="13">
        <f>SUM(F358:K358)</f>
        <v>524625.66999999993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112747.47</v>
      </c>
      <c r="G360" s="18">
        <v>22087.75</v>
      </c>
      <c r="H360" s="18">
        <v>2762.69</v>
      </c>
      <c r="I360" s="18">
        <v>169843.04</v>
      </c>
      <c r="J360" s="18">
        <v>7057.81</v>
      </c>
      <c r="K360" s="18">
        <v>300.5</v>
      </c>
      <c r="L360" s="19">
        <f>SUM(F360:K360)</f>
        <v>314799.26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307769.24</v>
      </c>
      <c r="G362" s="47">
        <f t="shared" si="22"/>
        <v>78884.81</v>
      </c>
      <c r="H362" s="47">
        <f t="shared" si="22"/>
        <v>8459.7999999999993</v>
      </c>
      <c r="I362" s="47">
        <f t="shared" si="22"/>
        <v>418031.41000000003</v>
      </c>
      <c r="J362" s="47">
        <f t="shared" si="22"/>
        <v>25206.47</v>
      </c>
      <c r="K362" s="47">
        <f t="shared" si="22"/>
        <v>1073.2</v>
      </c>
      <c r="L362" s="47">
        <f t="shared" si="22"/>
        <v>839424.92999999993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229964.98</v>
      </c>
      <c r="G367" s="18"/>
      <c r="H367" s="18">
        <v>158345.60000000001</v>
      </c>
      <c r="I367" s="56">
        <f>SUM(F367:H367)</f>
        <v>388310.58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18223.39</v>
      </c>
      <c r="G368" s="63"/>
      <c r="H368" s="63">
        <v>11497.44</v>
      </c>
      <c r="I368" s="56">
        <f>SUM(F368:H368)</f>
        <v>29720.83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248188.37</v>
      </c>
      <c r="G369" s="47">
        <f>SUM(G367:G368)</f>
        <v>0</v>
      </c>
      <c r="H369" s="47">
        <f>SUM(H367:H368)</f>
        <v>169843.04</v>
      </c>
      <c r="I369" s="47">
        <f>SUM(I367:I368)</f>
        <v>418031.41000000003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>
        <v>0</v>
      </c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>
        <v>112322.43</v>
      </c>
      <c r="I378" s="18"/>
      <c r="J378" s="18"/>
      <c r="K378" s="18"/>
      <c r="L378" s="13">
        <f t="shared" si="23"/>
        <v>112322.43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>
        <v>9669.02</v>
      </c>
      <c r="L381" s="13">
        <f t="shared" si="23"/>
        <v>9669.02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112322.43</v>
      </c>
      <c r="I382" s="41">
        <f t="shared" si="24"/>
        <v>0</v>
      </c>
      <c r="J382" s="47">
        <f t="shared" si="24"/>
        <v>0</v>
      </c>
      <c r="K382" s="47">
        <f t="shared" si="24"/>
        <v>9669.02</v>
      </c>
      <c r="L382" s="47">
        <f t="shared" si="24"/>
        <v>121991.45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>
        <v>16.87</v>
      </c>
      <c r="I392" s="18"/>
      <c r="J392" s="24" t="s">
        <v>289</v>
      </c>
      <c r="K392" s="24" t="s">
        <v>289</v>
      </c>
      <c r="L392" s="56">
        <f t="shared" si="25"/>
        <v>16.87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16.87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16.87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1.91</v>
      </c>
      <c r="I396" s="18"/>
      <c r="J396" s="24" t="s">
        <v>289</v>
      </c>
      <c r="K396" s="24" t="s">
        <v>289</v>
      </c>
      <c r="L396" s="56">
        <f t="shared" si="26"/>
        <v>1.91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1.91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1.91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18.78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18.78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196919.83</v>
      </c>
      <c r="G439" s="18">
        <v>18589.12</v>
      </c>
      <c r="H439" s="18"/>
      <c r="I439" s="56">
        <f t="shared" ref="I439:I445" si="33">SUM(F439:H439)</f>
        <v>215508.94999999998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196919.83</v>
      </c>
      <c r="G446" s="13">
        <f>SUM(G439:G445)</f>
        <v>18589.12</v>
      </c>
      <c r="H446" s="13">
        <f>SUM(H439:H445)</f>
        <v>0</v>
      </c>
      <c r="I446" s="13">
        <f>SUM(I439:I445)</f>
        <v>215508.94999999998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196919.83</v>
      </c>
      <c r="G459" s="18">
        <v>18589.12</v>
      </c>
      <c r="H459" s="18"/>
      <c r="I459" s="56">
        <f t="shared" si="34"/>
        <v>215508.94999999998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196919.83</v>
      </c>
      <c r="G460" s="83">
        <f>SUM(G454:G459)</f>
        <v>18589.12</v>
      </c>
      <c r="H460" s="83">
        <f>SUM(H454:H459)</f>
        <v>0</v>
      </c>
      <c r="I460" s="83">
        <f>SUM(I454:I459)</f>
        <v>215508.94999999998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196919.83</v>
      </c>
      <c r="G461" s="42">
        <f>G452+G460</f>
        <v>18589.12</v>
      </c>
      <c r="H461" s="42">
        <f>H452+H460</f>
        <v>0</v>
      </c>
      <c r="I461" s="42">
        <f>I452+I460</f>
        <v>215508.94999999998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979384.27</v>
      </c>
      <c r="G465" s="18">
        <v>121080.7</v>
      </c>
      <c r="H465" s="18">
        <v>42210.35</v>
      </c>
      <c r="I465" s="18">
        <v>121991.45</v>
      </c>
      <c r="J465" s="18">
        <v>215490.17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43774881.149999999</v>
      </c>
      <c r="G468" s="18">
        <v>898095.65</v>
      </c>
      <c r="H468" s="18">
        <v>736061.55</v>
      </c>
      <c r="I468" s="18">
        <v>0</v>
      </c>
      <c r="J468" s="18">
        <v>18.78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43774881.149999999</v>
      </c>
      <c r="G470" s="53">
        <f>SUM(G468:G469)</f>
        <v>898095.65</v>
      </c>
      <c r="H470" s="53">
        <f>SUM(H468:H469)</f>
        <v>736061.55</v>
      </c>
      <c r="I470" s="53">
        <f>SUM(I468:I469)</f>
        <v>0</v>
      </c>
      <c r="J470" s="53">
        <f>SUM(J468:J469)</f>
        <v>18.78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43408963.219999999</v>
      </c>
      <c r="G472" s="18">
        <v>839424.93</v>
      </c>
      <c r="H472" s="18">
        <v>738593.71</v>
      </c>
      <c r="I472" s="18">
        <v>121991.45</v>
      </c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43408963.219999999</v>
      </c>
      <c r="G474" s="53">
        <f>SUM(G472:G473)</f>
        <v>839424.93</v>
      </c>
      <c r="H474" s="53">
        <f>SUM(H472:H473)</f>
        <v>738593.71</v>
      </c>
      <c r="I474" s="53">
        <f>SUM(I472:I473)</f>
        <v>121991.45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1345302.200000003</v>
      </c>
      <c r="G476" s="53">
        <f>(G465+G470)- G474</f>
        <v>179751.41999999993</v>
      </c>
      <c r="H476" s="53">
        <f>(H465+H470)- H474</f>
        <v>39678.190000000061</v>
      </c>
      <c r="I476" s="53">
        <f>(I465+I470)- I474</f>
        <v>0</v>
      </c>
      <c r="J476" s="53">
        <f>(J465+J470)- J474</f>
        <v>215508.95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>
        <v>10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 t="s">
        <v>912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 t="s">
        <v>914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42753296</v>
      </c>
      <c r="G493" s="18">
        <v>4000000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3.92</v>
      </c>
      <c r="G494" s="18">
        <v>3.69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24695000</v>
      </c>
      <c r="G495" s="18">
        <v>2240000</v>
      </c>
      <c r="H495" s="18"/>
      <c r="I495" s="18"/>
      <c r="J495" s="18"/>
      <c r="K495" s="53">
        <f>SUM(F495:J495)</f>
        <v>26935000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2575000</v>
      </c>
      <c r="G497" s="18">
        <v>375000</v>
      </c>
      <c r="H497" s="18"/>
      <c r="I497" s="18"/>
      <c r="J497" s="18"/>
      <c r="K497" s="53">
        <f t="shared" si="35"/>
        <v>2950000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22120000</v>
      </c>
      <c r="G498" s="204">
        <v>1865000</v>
      </c>
      <c r="H498" s="204"/>
      <c r="I498" s="204"/>
      <c r="J498" s="204"/>
      <c r="K498" s="205">
        <f t="shared" si="35"/>
        <v>23985000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5000872.63</v>
      </c>
      <c r="G499" s="18">
        <v>243993.75</v>
      </c>
      <c r="H499" s="18"/>
      <c r="I499" s="18"/>
      <c r="J499" s="18"/>
      <c r="K499" s="53">
        <f t="shared" si="35"/>
        <v>5244866.38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27120872.629999999</v>
      </c>
      <c r="G500" s="42">
        <f>SUM(G498:G499)</f>
        <v>2108993.75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29229866.379999999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2560000</v>
      </c>
      <c r="G501" s="204">
        <v>375000</v>
      </c>
      <c r="H501" s="204"/>
      <c r="I501" s="204"/>
      <c r="J501" s="204"/>
      <c r="K501" s="205">
        <f t="shared" si="35"/>
        <v>2935000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f>438125+390125</f>
        <v>828250</v>
      </c>
      <c r="G502" s="18">
        <v>88068.75</v>
      </c>
      <c r="H502" s="18"/>
      <c r="I502" s="18"/>
      <c r="J502" s="18"/>
      <c r="K502" s="53">
        <f t="shared" si="35"/>
        <v>916318.75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3388250</v>
      </c>
      <c r="G503" s="42">
        <f>SUM(G501:G502)</f>
        <v>463068.75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3851318.75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2729200.39-68500-18842-67621-30542</f>
        <v>2543695.39</v>
      </c>
      <c r="G521" s="18">
        <v>1346104.99</v>
      </c>
      <c r="H521" s="18">
        <v>948899</v>
      </c>
      <c r="I521" s="18">
        <v>32049.13</v>
      </c>
      <c r="J521" s="18">
        <v>12548.79</v>
      </c>
      <c r="K521" s="18">
        <v>939.99</v>
      </c>
      <c r="L521" s="88">
        <f>SUM(F521:K521)</f>
        <v>4884237.29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985451.26-70592-7327-11877</f>
        <v>895655.26</v>
      </c>
      <c r="G523" s="18">
        <v>518170.94</v>
      </c>
      <c r="H523" s="18">
        <v>372706.45</v>
      </c>
      <c r="I523" s="18">
        <v>10525.99</v>
      </c>
      <c r="J523" s="18">
        <v>2104.44</v>
      </c>
      <c r="K523" s="18">
        <v>7335.88</v>
      </c>
      <c r="L523" s="88">
        <f>SUM(F523:K523)</f>
        <v>1806498.9599999997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3439350.6500000004</v>
      </c>
      <c r="G524" s="108">
        <f t="shared" ref="G524:L524" si="36">SUM(G521:G523)</f>
        <v>1864275.93</v>
      </c>
      <c r="H524" s="108">
        <f t="shared" si="36"/>
        <v>1321605.45</v>
      </c>
      <c r="I524" s="108">
        <f t="shared" si="36"/>
        <v>42575.12</v>
      </c>
      <c r="J524" s="108">
        <f t="shared" si="36"/>
        <v>14653.230000000001</v>
      </c>
      <c r="K524" s="108">
        <f t="shared" si="36"/>
        <v>8275.8700000000008</v>
      </c>
      <c r="L524" s="89">
        <f t="shared" si="36"/>
        <v>6690736.25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860989.31</v>
      </c>
      <c r="G526" s="18">
        <v>382703.74</v>
      </c>
      <c r="H526" s="18">
        <v>153322.65</v>
      </c>
      <c r="I526" s="18">
        <v>16838.39</v>
      </c>
      <c r="J526" s="18">
        <v>20373.53</v>
      </c>
      <c r="K526" s="18">
        <v>143.28</v>
      </c>
      <c r="L526" s="88">
        <f>SUM(F526:K526)</f>
        <v>1434370.9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99574.97</v>
      </c>
      <c r="G528" s="18">
        <v>95685.83</v>
      </c>
      <c r="H528" s="18">
        <v>59625.47</v>
      </c>
      <c r="I528" s="18">
        <v>5371.36</v>
      </c>
      <c r="J528" s="18">
        <v>2154.6</v>
      </c>
      <c r="K528" s="18">
        <v>55.72</v>
      </c>
      <c r="L528" s="88">
        <f>SUM(F528:K528)</f>
        <v>262467.94999999995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960564.28</v>
      </c>
      <c r="G529" s="89">
        <f t="shared" ref="G529:L529" si="37">SUM(G526:G528)</f>
        <v>478389.57</v>
      </c>
      <c r="H529" s="89">
        <f t="shared" si="37"/>
        <v>212948.12</v>
      </c>
      <c r="I529" s="89">
        <f t="shared" si="37"/>
        <v>22209.75</v>
      </c>
      <c r="J529" s="89">
        <f t="shared" si="37"/>
        <v>22528.129999999997</v>
      </c>
      <c r="K529" s="89">
        <f t="shared" si="37"/>
        <v>199</v>
      </c>
      <c r="L529" s="89">
        <f t="shared" si="37"/>
        <v>1696838.8499999999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64080+68500+18842+67621+30542</f>
        <v>249585</v>
      </c>
      <c r="G531" s="18">
        <v>191316.23</v>
      </c>
      <c r="H531" s="18"/>
      <c r="I531" s="18"/>
      <c r="J531" s="18"/>
      <c r="K531" s="18"/>
      <c r="L531" s="88">
        <f>SUM(F531:K531)</f>
        <v>440901.23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f>24920+70592+7327+11877</f>
        <v>114716</v>
      </c>
      <c r="G533" s="18">
        <v>95658.11</v>
      </c>
      <c r="H533" s="18"/>
      <c r="I533" s="18"/>
      <c r="J533" s="18"/>
      <c r="K533" s="18"/>
      <c r="L533" s="88">
        <f>SUM(F533:K533)</f>
        <v>210374.11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364301</v>
      </c>
      <c r="G534" s="89">
        <f t="shared" ref="G534:L534" si="38">SUM(G531:G533)</f>
        <v>286974.34000000003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651275.34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428993.7</v>
      </c>
      <c r="I541" s="18"/>
      <c r="J541" s="18"/>
      <c r="K541" s="18"/>
      <c r="L541" s="88">
        <f>SUM(F541:K541)</f>
        <v>428993.7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166830.88</v>
      </c>
      <c r="I543" s="18"/>
      <c r="J543" s="18"/>
      <c r="K543" s="18"/>
      <c r="L543" s="88">
        <f>SUM(F543:K543)</f>
        <v>166830.88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595824.58000000007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595824.58000000007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4764215.9300000006</v>
      </c>
      <c r="G545" s="89">
        <f t="shared" ref="G545:L545" si="41">G524+G529+G534+G539+G544</f>
        <v>2629639.84</v>
      </c>
      <c r="H545" s="89">
        <f t="shared" si="41"/>
        <v>2130378.15</v>
      </c>
      <c r="I545" s="89">
        <f t="shared" si="41"/>
        <v>64784.87</v>
      </c>
      <c r="J545" s="89">
        <f t="shared" si="41"/>
        <v>37181.360000000001</v>
      </c>
      <c r="K545" s="89">
        <f t="shared" si="41"/>
        <v>8474.8700000000008</v>
      </c>
      <c r="L545" s="89">
        <f t="shared" si="41"/>
        <v>9634675.0199999996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4884237.29</v>
      </c>
      <c r="G549" s="87">
        <f>L526</f>
        <v>1434370.9</v>
      </c>
      <c r="H549" s="87">
        <f>L531</f>
        <v>440901.23</v>
      </c>
      <c r="I549" s="87">
        <f>L536</f>
        <v>0</v>
      </c>
      <c r="J549" s="87">
        <f>L541</f>
        <v>428993.7</v>
      </c>
      <c r="K549" s="87">
        <f>SUM(F549:J549)</f>
        <v>7188503.1200000001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1806498.9599999997</v>
      </c>
      <c r="G551" s="87">
        <f>L528</f>
        <v>262467.94999999995</v>
      </c>
      <c r="H551" s="87">
        <f>L533</f>
        <v>210374.11</v>
      </c>
      <c r="I551" s="87">
        <f>L538</f>
        <v>0</v>
      </c>
      <c r="J551" s="87">
        <f>L543</f>
        <v>166830.88</v>
      </c>
      <c r="K551" s="87">
        <f>SUM(F551:J551)</f>
        <v>2446171.8999999994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6690736.25</v>
      </c>
      <c r="G552" s="89">
        <f t="shared" si="42"/>
        <v>1696838.8499999999</v>
      </c>
      <c r="H552" s="89">
        <f t="shared" si="42"/>
        <v>651275.34</v>
      </c>
      <c r="I552" s="89">
        <f t="shared" si="42"/>
        <v>0</v>
      </c>
      <c r="J552" s="89">
        <f t="shared" si="42"/>
        <v>595824.58000000007</v>
      </c>
      <c r="K552" s="89">
        <f t="shared" si="42"/>
        <v>9634675.0199999996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107554.3</v>
      </c>
      <c r="G562" s="18">
        <v>59808.15</v>
      </c>
      <c r="H562" s="18">
        <v>1577.07</v>
      </c>
      <c r="I562" s="18">
        <v>1058.17</v>
      </c>
      <c r="J562" s="18"/>
      <c r="K562" s="18"/>
      <c r="L562" s="88">
        <f>SUM(F562:K562)</f>
        <v>169997.69000000003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>
        <v>0</v>
      </c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41826.67</v>
      </c>
      <c r="G564" s="18">
        <v>20070.12</v>
      </c>
      <c r="H564" s="18">
        <v>613.29999999999995</v>
      </c>
      <c r="I564" s="18">
        <v>411.51</v>
      </c>
      <c r="J564" s="18"/>
      <c r="K564" s="18"/>
      <c r="L564" s="88">
        <f>SUM(F564:K564)</f>
        <v>62921.599999999999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149380.97</v>
      </c>
      <c r="G565" s="89">
        <f t="shared" si="44"/>
        <v>79878.27</v>
      </c>
      <c r="H565" s="89">
        <f t="shared" si="44"/>
        <v>2190.37</v>
      </c>
      <c r="I565" s="89">
        <f t="shared" si="44"/>
        <v>1469.68</v>
      </c>
      <c r="J565" s="89">
        <f t="shared" si="44"/>
        <v>0</v>
      </c>
      <c r="K565" s="89">
        <f t="shared" si="44"/>
        <v>0</v>
      </c>
      <c r="L565" s="89">
        <f t="shared" si="44"/>
        <v>232919.29000000004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149380.97</v>
      </c>
      <c r="G571" s="89">
        <f t="shared" ref="G571:L571" si="46">G560+G565+G570</f>
        <v>79878.27</v>
      </c>
      <c r="H571" s="89">
        <f t="shared" si="46"/>
        <v>2190.37</v>
      </c>
      <c r="I571" s="89">
        <f t="shared" si="46"/>
        <v>1469.68</v>
      </c>
      <c r="J571" s="89">
        <f t="shared" si="46"/>
        <v>0</v>
      </c>
      <c r="K571" s="89">
        <f t="shared" si="46"/>
        <v>0</v>
      </c>
      <c r="L571" s="89">
        <f t="shared" si="46"/>
        <v>232919.29000000004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>
        <v>0</v>
      </c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703270</v>
      </c>
      <c r="G582" s="18"/>
      <c r="H582" s="18">
        <v>273493.89</v>
      </c>
      <c r="I582" s="87">
        <f t="shared" si="47"/>
        <v>976763.89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88157.16</v>
      </c>
      <c r="G583" s="18"/>
      <c r="H583" s="18">
        <v>34283.339999999997</v>
      </c>
      <c r="I583" s="87">
        <f t="shared" si="47"/>
        <v>122440.5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47047.68</v>
      </c>
      <c r="I584" s="87">
        <f t="shared" si="47"/>
        <v>47047.68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966362.55</v>
      </c>
      <c r="I591" s="18"/>
      <c r="J591" s="18">
        <v>375807.67</v>
      </c>
      <c r="K591" s="104">
        <f t="shared" ref="K591:K597" si="48">SUM(H591:J591)</f>
        <v>1342170.22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428993.7</v>
      </c>
      <c r="I592" s="18"/>
      <c r="J592" s="18">
        <v>166830.88</v>
      </c>
      <c r="K592" s="104">
        <f t="shared" si="48"/>
        <v>595824.58000000007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131040.52</v>
      </c>
      <c r="K593" s="104">
        <f t="shared" si="48"/>
        <v>131040.52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22316.22</v>
      </c>
      <c r="I594" s="18"/>
      <c r="J594" s="18">
        <v>100931.49</v>
      </c>
      <c r="K594" s="104">
        <f t="shared" si="48"/>
        <v>123247.71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13565.95</v>
      </c>
      <c r="I595" s="18"/>
      <c r="J595" s="18">
        <v>2775.87</v>
      </c>
      <c r="K595" s="104">
        <f t="shared" si="48"/>
        <v>16341.82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12596.43</v>
      </c>
      <c r="I597" s="18"/>
      <c r="J597" s="18">
        <v>4898.6099999999997</v>
      </c>
      <c r="K597" s="104">
        <f t="shared" si="48"/>
        <v>17495.04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1443834.8499999999</v>
      </c>
      <c r="I598" s="108">
        <f>SUM(I591:I597)</f>
        <v>0</v>
      </c>
      <c r="J598" s="108">
        <f>SUM(J591:J597)</f>
        <v>782285.04</v>
      </c>
      <c r="K598" s="108">
        <f>SUM(K591:K597)</f>
        <v>2226119.89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285586.90999999997</v>
      </c>
      <c r="I604" s="18"/>
      <c r="J604" s="18">
        <v>355722.95</v>
      </c>
      <c r="K604" s="104">
        <f>SUM(H604:J604)</f>
        <v>641309.86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285586.90999999997</v>
      </c>
      <c r="I605" s="108">
        <f>SUM(I602:I604)</f>
        <v>0</v>
      </c>
      <c r="J605" s="108">
        <f>SUM(J602:J604)</f>
        <v>355722.95</v>
      </c>
      <c r="K605" s="108">
        <f>SUM(K602:K604)</f>
        <v>641309.86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67011.83+31064.69</f>
        <v>98076.52</v>
      </c>
      <c r="G611" s="18">
        <v>47829.05</v>
      </c>
      <c r="H611" s="18"/>
      <c r="I611" s="18">
        <f>701.94*0.72</f>
        <v>505.39680000000004</v>
      </c>
      <c r="J611" s="18"/>
      <c r="K611" s="18"/>
      <c r="L611" s="88">
        <f>SUM(F611:K611)</f>
        <v>146410.96679999999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f>93071.99-67011.83</f>
        <v>26060.160000000003</v>
      </c>
      <c r="G613" s="18">
        <v>9565.81</v>
      </c>
      <c r="H613" s="18"/>
      <c r="I613" s="18">
        <f>701.94*0.28</f>
        <v>196.54320000000004</v>
      </c>
      <c r="J613" s="18"/>
      <c r="K613" s="18"/>
      <c r="L613" s="88">
        <f>SUM(F613:K613)</f>
        <v>35822.513200000001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124136.68000000001</v>
      </c>
      <c r="G614" s="108">
        <f t="shared" si="49"/>
        <v>57394.86</v>
      </c>
      <c r="H614" s="108">
        <f t="shared" si="49"/>
        <v>0</v>
      </c>
      <c r="I614" s="108">
        <f t="shared" si="49"/>
        <v>701.94</v>
      </c>
      <c r="J614" s="108">
        <f t="shared" si="49"/>
        <v>0</v>
      </c>
      <c r="K614" s="108">
        <f t="shared" si="49"/>
        <v>0</v>
      </c>
      <c r="L614" s="89">
        <f t="shared" si="49"/>
        <v>182233.47999999998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1572954.03</v>
      </c>
      <c r="H617" s="109">
        <f>SUM(F52)</f>
        <v>1572954.0300000003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209772.84</v>
      </c>
      <c r="H618" s="109">
        <f>SUM(G52)</f>
        <v>209772.83999999997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150203.34</v>
      </c>
      <c r="H619" s="109">
        <f>SUM(H52)</f>
        <v>150203.34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215508.94999999998</v>
      </c>
      <c r="H621" s="109">
        <f>SUM(J52)</f>
        <v>215508.94999999998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1345302.2000000002</v>
      </c>
      <c r="H622" s="109">
        <f>F476</f>
        <v>1345302.200000003</v>
      </c>
      <c r="I622" s="121" t="s">
        <v>101</v>
      </c>
      <c r="J622" s="109">
        <f t="shared" ref="J622:J655" si="50">G622-H622</f>
        <v>-2.7939677238464355E-9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179751.41999999998</v>
      </c>
      <c r="H623" s="109">
        <f>G476</f>
        <v>179751.41999999993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39678.19</v>
      </c>
      <c r="H624" s="109">
        <f>H476</f>
        <v>39678.190000000061</v>
      </c>
      <c r="I624" s="121" t="s">
        <v>103</v>
      </c>
      <c r="J624" s="109">
        <f t="shared" si="50"/>
        <v>-5.8207660913467407E-11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215508.94999999998</v>
      </c>
      <c r="H626" s="109">
        <f>J476</f>
        <v>215508.95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43774881.150000006</v>
      </c>
      <c r="H627" s="104">
        <f>SUM(F468)</f>
        <v>43774881.149999999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898095.65000000014</v>
      </c>
      <c r="H628" s="104">
        <f>SUM(G468)</f>
        <v>898095.65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736061.54999999993</v>
      </c>
      <c r="H629" s="104">
        <f>SUM(H468)</f>
        <v>736061.55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18.78</v>
      </c>
      <c r="H631" s="104">
        <f>SUM(J468)</f>
        <v>18.78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43408963.219999999</v>
      </c>
      <c r="H632" s="104">
        <f>SUM(F472)</f>
        <v>43408963.219999999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738593.71000000008</v>
      </c>
      <c r="H633" s="104">
        <f>SUM(H472)</f>
        <v>738593.71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418031.41000000003</v>
      </c>
      <c r="H634" s="104">
        <f>I369</f>
        <v>418031.41000000003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839424.92999999993</v>
      </c>
      <c r="H635" s="104">
        <f>SUM(G472)</f>
        <v>839424.93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121991.45</v>
      </c>
      <c r="H636" s="104">
        <f>SUM(I472)</f>
        <v>121991.45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18.78</v>
      </c>
      <c r="H637" s="164">
        <f>SUM(J468)</f>
        <v>18.78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196919.83</v>
      </c>
      <c r="H639" s="104">
        <f>SUM(F461)</f>
        <v>196919.83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18589.12</v>
      </c>
      <c r="H640" s="104">
        <f>SUM(G461)</f>
        <v>18589.12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215508.94999999998</v>
      </c>
      <c r="H642" s="104">
        <f>SUM(I461)</f>
        <v>215508.94999999998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18.78</v>
      </c>
      <c r="H644" s="104">
        <f>H408</f>
        <v>18.78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18.78</v>
      </c>
      <c r="H646" s="104">
        <f>L408</f>
        <v>18.78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2226119.89</v>
      </c>
      <c r="H647" s="104">
        <f>L208+L226+L244</f>
        <v>2226119.8899999997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641309.86</v>
      </c>
      <c r="H648" s="104">
        <f>(J257+J338)-(J255+J336)</f>
        <v>641309.8600000001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1443834.8499999999</v>
      </c>
      <c r="H649" s="104">
        <f>H598</f>
        <v>1443834.8499999999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782285.03999999992</v>
      </c>
      <c r="H651" s="104">
        <f>J598</f>
        <v>782285.04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27679586.740000002</v>
      </c>
      <c r="G660" s="19">
        <f>(L229+L309+L359)</f>
        <v>0</v>
      </c>
      <c r="H660" s="19">
        <f>(L247+L328+L360)</f>
        <v>12778118.459999997</v>
      </c>
      <c r="I660" s="19">
        <f>SUM(F660:H660)</f>
        <v>40457705.200000003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467298.14939985669</v>
      </c>
      <c r="G661" s="19">
        <f>(L359/IF(SUM(L358:L360)=0,1,SUM(L358:L360))*(SUM(G97:G110)))</f>
        <v>0</v>
      </c>
      <c r="H661" s="19">
        <f>(L360/IF(SUM(L358:L360)=0,1,SUM(L358:L360))*(SUM(G97:G110)))</f>
        <v>280400.14060014329</v>
      </c>
      <c r="I661" s="19">
        <f>SUM(F661:H661)</f>
        <v>747698.29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1443834.8499999999</v>
      </c>
      <c r="G662" s="19">
        <f>(L226+L306)-(J226+J306)</f>
        <v>0</v>
      </c>
      <c r="H662" s="19">
        <f>(L244+L325)-(J244+J325)</f>
        <v>782285.03999999992</v>
      </c>
      <c r="I662" s="19">
        <f>SUM(F662:H662)</f>
        <v>2226119.8899999997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1223425.0368000001</v>
      </c>
      <c r="G663" s="199">
        <f>SUM(G575:G587)+SUM(I602:I604)+L612</f>
        <v>0</v>
      </c>
      <c r="H663" s="199">
        <f>SUM(H575:H587)+SUM(J602:J604)+L613</f>
        <v>746370.37320000003</v>
      </c>
      <c r="I663" s="19">
        <f>SUM(F663:H663)</f>
        <v>1969795.4100000001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24545028.703800146</v>
      </c>
      <c r="G664" s="19">
        <f>G660-SUM(G661:G663)</f>
        <v>0</v>
      </c>
      <c r="H664" s="19">
        <f>H660-SUM(H661:H663)</f>
        <v>10969062.906199854</v>
      </c>
      <c r="I664" s="19">
        <f>I660-SUM(I661:I663)</f>
        <v>35514091.609999999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1980.13</v>
      </c>
      <c r="G665" s="248"/>
      <c r="H665" s="248">
        <v>772.99</v>
      </c>
      <c r="I665" s="19">
        <f>SUM(F665:H665)</f>
        <v>2753.12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12395.67</v>
      </c>
      <c r="G667" s="19" t="e">
        <f>ROUND(G664/G665,2)</f>
        <v>#DIV/0!</v>
      </c>
      <c r="H667" s="19">
        <f>ROUND(H664/H665,2)</f>
        <v>14190.43</v>
      </c>
      <c r="I667" s="19">
        <f>ROUND(I664/I665,2)</f>
        <v>12899.58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-10.9</v>
      </c>
      <c r="I670" s="19">
        <f>SUM(F670:H670)</f>
        <v>-10.9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12395.67</v>
      </c>
      <c r="G672" s="19" t="e">
        <f>ROUND((G664+G669)/(G665+G670),2)</f>
        <v>#DIV/0!</v>
      </c>
      <c r="H672" s="19">
        <f>ROUND((H664+H669)/(H665+H670),2)</f>
        <v>14393.4</v>
      </c>
      <c r="I672" s="19">
        <f>ROUND((I664+I669)/(I665+I670),2)</f>
        <v>12950.85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Windham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10477929.750000002</v>
      </c>
      <c r="C9" s="229">
        <f>'DOE25'!G197+'DOE25'!G215+'DOE25'!G233+'DOE25'!G276+'DOE25'!G295+'DOE25'!G314</f>
        <v>5186196.7300000004</v>
      </c>
    </row>
    <row r="10" spans="1:3" x14ac:dyDescent="0.2">
      <c r="A10" t="s">
        <v>779</v>
      </c>
      <c r="B10" s="240">
        <v>9578013.0399999991</v>
      </c>
      <c r="C10" s="240">
        <f>(B10/B9)*C9</f>
        <v>4740770.4664125424</v>
      </c>
    </row>
    <row r="11" spans="1:3" x14ac:dyDescent="0.2">
      <c r="A11" t="s">
        <v>780</v>
      </c>
      <c r="B11" s="240">
        <v>434601.88</v>
      </c>
      <c r="C11" s="240">
        <f>(B11/B9)*C9</f>
        <v>215112.23139359683</v>
      </c>
    </row>
    <row r="12" spans="1:3" x14ac:dyDescent="0.2">
      <c r="A12" t="s">
        <v>781</v>
      </c>
      <c r="B12" s="240">
        <v>465314.83</v>
      </c>
      <c r="C12" s="240">
        <f>(B12/B9)*C9</f>
        <v>230314.03219386021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10477929.75</v>
      </c>
      <c r="C13" s="231">
        <f>SUM(C10:C12)</f>
        <v>5186196.7299999995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3870043.5800000005</v>
      </c>
      <c r="C18" s="229">
        <f>'DOE25'!G198+'DOE25'!G216+'DOE25'!G234+'DOE25'!G277+'DOE25'!G296+'DOE25'!G315</f>
        <v>1929926.9200000002</v>
      </c>
    </row>
    <row r="19" spans="1:3" x14ac:dyDescent="0.2">
      <c r="A19" t="s">
        <v>779</v>
      </c>
      <c r="B19" s="240">
        <f>1812800.84+37075.65</f>
        <v>1849876.49</v>
      </c>
      <c r="C19" s="240">
        <f>(B19/B18)*C18</f>
        <v>922502.90285519487</v>
      </c>
    </row>
    <row r="20" spans="1:3" x14ac:dyDescent="0.2">
      <c r="A20" t="s">
        <v>780</v>
      </c>
      <c r="B20" s="240">
        <v>1657676.94</v>
      </c>
      <c r="C20" s="240">
        <f>(B20/B18)*C18</f>
        <v>826656.15645837889</v>
      </c>
    </row>
    <row r="21" spans="1:3" x14ac:dyDescent="0.2">
      <c r="A21" t="s">
        <v>781</v>
      </c>
      <c r="B21" s="240">
        <v>362490.15</v>
      </c>
      <c r="C21" s="240">
        <f>(B21/B18)*C18</f>
        <v>180767.86068642617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3870043.5799999996</v>
      </c>
      <c r="C22" s="231">
        <f>SUM(C19:C21)</f>
        <v>1929926.92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598806.19000000006</v>
      </c>
      <c r="C36" s="235">
        <f>'DOE25'!G200+'DOE25'!G218+'DOE25'!G236+'DOE25'!G279+'DOE25'!G298+'DOE25'!G317</f>
        <v>308182.65999999997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598806.18999999994</v>
      </c>
      <c r="C39" s="240">
        <f>C36</f>
        <v>308182.65999999997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598806.18999999994</v>
      </c>
      <c r="C40" s="231">
        <f>SUM(C37:C39)</f>
        <v>308182.65999999997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Windham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24152346.07</v>
      </c>
      <c r="D5" s="20">
        <f>SUM('DOE25'!L197:L200)+SUM('DOE25'!L215:L218)+SUM('DOE25'!L233:L236)-F5-G5</f>
        <v>23861486.640000001</v>
      </c>
      <c r="E5" s="243"/>
      <c r="F5" s="255">
        <f>SUM('DOE25'!J197:J200)+SUM('DOE25'!J215:J218)+SUM('DOE25'!J233:J236)</f>
        <v>179797.90000000002</v>
      </c>
      <c r="G5" s="53">
        <f>SUM('DOE25'!K197:K200)+SUM('DOE25'!K215:K218)+SUM('DOE25'!K233:K236)</f>
        <v>111061.53</v>
      </c>
      <c r="H5" s="259"/>
    </row>
    <row r="6" spans="1:9" x14ac:dyDescent="0.2">
      <c r="A6" s="32">
        <v>2100</v>
      </c>
      <c r="B6" t="s">
        <v>801</v>
      </c>
      <c r="C6" s="245">
        <f t="shared" si="0"/>
        <v>3226537.6099999994</v>
      </c>
      <c r="D6" s="20">
        <f>'DOE25'!L202+'DOE25'!L220+'DOE25'!L238-F6-G6</f>
        <v>3190624.7799999993</v>
      </c>
      <c r="E6" s="243"/>
      <c r="F6" s="255">
        <f>'DOE25'!J202+'DOE25'!J220+'DOE25'!J238</f>
        <v>22528.129999999997</v>
      </c>
      <c r="G6" s="53">
        <f>'DOE25'!K202+'DOE25'!K220+'DOE25'!K238</f>
        <v>13384.699999999999</v>
      </c>
      <c r="H6" s="259"/>
    </row>
    <row r="7" spans="1:9" x14ac:dyDescent="0.2">
      <c r="A7" s="32">
        <v>2200</v>
      </c>
      <c r="B7" t="s">
        <v>834</v>
      </c>
      <c r="C7" s="245">
        <f t="shared" si="0"/>
        <v>2251109.1500000004</v>
      </c>
      <c r="D7" s="20">
        <f>'DOE25'!L203+'DOE25'!L221+'DOE25'!L239-F7-G7</f>
        <v>1724801.3200000003</v>
      </c>
      <c r="E7" s="243"/>
      <c r="F7" s="255">
        <f>'DOE25'!J203+'DOE25'!J221+'DOE25'!J239</f>
        <v>399894.23</v>
      </c>
      <c r="G7" s="53">
        <f>'DOE25'!K203+'DOE25'!K221+'DOE25'!K239</f>
        <v>126413.59999999999</v>
      </c>
      <c r="H7" s="259"/>
    </row>
    <row r="8" spans="1:9" x14ac:dyDescent="0.2">
      <c r="A8" s="32">
        <v>2300</v>
      </c>
      <c r="B8" t="s">
        <v>802</v>
      </c>
      <c r="C8" s="245">
        <f t="shared" si="0"/>
        <v>538601.41</v>
      </c>
      <c r="D8" s="243"/>
      <c r="E8" s="20">
        <f>'DOE25'!L204+'DOE25'!L222+'DOE25'!L240-F8-G8-D9-D11</f>
        <v>484555.98000000004</v>
      </c>
      <c r="F8" s="255">
        <f>'DOE25'!J204+'DOE25'!J222+'DOE25'!J240</f>
        <v>0</v>
      </c>
      <c r="G8" s="53">
        <f>'DOE25'!K204+'DOE25'!K222+'DOE25'!K240</f>
        <v>54045.43</v>
      </c>
      <c r="H8" s="259"/>
    </row>
    <row r="9" spans="1:9" x14ac:dyDescent="0.2">
      <c r="A9" s="32">
        <v>2310</v>
      </c>
      <c r="B9" t="s">
        <v>818</v>
      </c>
      <c r="C9" s="245">
        <f t="shared" si="0"/>
        <v>50795.6</v>
      </c>
      <c r="D9" s="244">
        <v>50795.6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23283</v>
      </c>
      <c r="D10" s="243"/>
      <c r="E10" s="244">
        <v>23283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225197.43</v>
      </c>
      <c r="D11" s="244">
        <f>164840.74+60356.69</f>
        <v>225197.43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1610975.7</v>
      </c>
      <c r="D12" s="20">
        <f>'DOE25'!L205+'DOE25'!L223+'DOE25'!L241-F12-G12</f>
        <v>1559632</v>
      </c>
      <c r="E12" s="243"/>
      <c r="F12" s="255">
        <f>'DOE25'!J205+'DOE25'!J223+'DOE25'!J241</f>
        <v>24619.95</v>
      </c>
      <c r="G12" s="53">
        <f>'DOE25'!K205+'DOE25'!K223+'DOE25'!K241</f>
        <v>26723.75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541021.0199999999</v>
      </c>
      <c r="D13" s="243"/>
      <c r="E13" s="20">
        <f>'DOE25'!L206+'DOE25'!L224+'DOE25'!L242-F13-G13</f>
        <v>541021.0199999999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3965389.62</v>
      </c>
      <c r="D14" s="20">
        <f>'DOE25'!L207+'DOE25'!L225+'DOE25'!L243-F14-G14</f>
        <v>3956051.24</v>
      </c>
      <c r="E14" s="243"/>
      <c r="F14" s="255">
        <f>'DOE25'!J207+'DOE25'!J225+'DOE25'!J243</f>
        <v>9338.380000000001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2226119.8899999997</v>
      </c>
      <c r="D15" s="20">
        <f>'DOE25'!L208+'DOE25'!L226+'DOE25'!L244-F15-G15</f>
        <v>2226119.8899999997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95722.000000000015</v>
      </c>
      <c r="D16" s="243"/>
      <c r="E16" s="20">
        <f>'DOE25'!L209+'DOE25'!L227+'DOE25'!L245-F16-G16</f>
        <v>93567.000000000015</v>
      </c>
      <c r="F16" s="255">
        <f>'DOE25'!J209+'DOE25'!J227+'DOE25'!J245</f>
        <v>0</v>
      </c>
      <c r="G16" s="53">
        <f>'DOE25'!K209+'DOE25'!K227+'DOE25'!K245</f>
        <v>2155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542860.22</v>
      </c>
      <c r="D22" s="243"/>
      <c r="E22" s="243"/>
      <c r="F22" s="255">
        <f>'DOE25'!L255+'DOE25'!L336</f>
        <v>542860.22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3982287.5</v>
      </c>
      <c r="D25" s="243"/>
      <c r="E25" s="243"/>
      <c r="F25" s="258"/>
      <c r="G25" s="256"/>
      <c r="H25" s="257">
        <f>'DOE25'!L260+'DOE25'!L261+'DOE25'!L341+'DOE25'!L342</f>
        <v>3982287.5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451114.34999999992</v>
      </c>
      <c r="D29" s="20">
        <f>'DOE25'!L358+'DOE25'!L359+'DOE25'!L360-'DOE25'!I367-F29-G29</f>
        <v>424834.67999999988</v>
      </c>
      <c r="E29" s="243"/>
      <c r="F29" s="255">
        <f>'DOE25'!J358+'DOE25'!J359+'DOE25'!J360</f>
        <v>25206.47</v>
      </c>
      <c r="G29" s="53">
        <f>'DOE25'!K358+'DOE25'!K359+'DOE25'!K360</f>
        <v>1073.2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734464.77000000014</v>
      </c>
      <c r="D31" s="20">
        <f>'DOE25'!L290+'DOE25'!L309+'DOE25'!L328+'DOE25'!L333+'DOE25'!L334+'DOE25'!L335-F31-G31</f>
        <v>729333.50000000012</v>
      </c>
      <c r="E31" s="243"/>
      <c r="F31" s="255">
        <f>'DOE25'!J290+'DOE25'!J309+'DOE25'!J328+'DOE25'!J333+'DOE25'!J334+'DOE25'!J335</f>
        <v>5131.2700000000004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37948877.080000006</v>
      </c>
      <c r="E33" s="246">
        <f>SUM(E5:E31)</f>
        <v>1142427</v>
      </c>
      <c r="F33" s="246">
        <f>SUM(F5:F31)</f>
        <v>1209376.55</v>
      </c>
      <c r="G33" s="246">
        <f>SUM(G5:G31)</f>
        <v>334857.21000000002</v>
      </c>
      <c r="H33" s="246">
        <f>SUM(H5:H31)</f>
        <v>3982287.5</v>
      </c>
    </row>
    <row r="35" spans="2:8" ht="12" thickBot="1" x14ac:dyDescent="0.25">
      <c r="B35" s="253" t="s">
        <v>847</v>
      </c>
      <c r="D35" s="254">
        <f>E33</f>
        <v>1142427</v>
      </c>
      <c r="E35" s="249"/>
    </row>
    <row r="36" spans="2:8" ht="12" thickTop="1" x14ac:dyDescent="0.2">
      <c r="B36" t="s">
        <v>815</v>
      </c>
      <c r="D36" s="20">
        <f>D33</f>
        <v>37948877.080000006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Windham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1409978.32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215508.94999999998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179823.51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143429.51999999999</v>
      </c>
      <c r="D12" s="95">
        <f>'DOE25'!G13</f>
        <v>8498.5300000000007</v>
      </c>
      <c r="E12" s="95">
        <f>'DOE25'!H13</f>
        <v>149151.34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19546.189999999999</v>
      </c>
      <c r="D13" s="95">
        <f>'DOE25'!G14</f>
        <v>536.5</v>
      </c>
      <c r="E13" s="95">
        <f>'DOE25'!H14</f>
        <v>50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20914.3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1002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1572954.03</v>
      </c>
      <c r="D18" s="41">
        <f>SUM(D8:D17)</f>
        <v>209772.84</v>
      </c>
      <c r="E18" s="41">
        <f>SUM(E8:E17)</f>
        <v>150203.34</v>
      </c>
      <c r="F18" s="41">
        <f>SUM(F8:F17)</f>
        <v>0</v>
      </c>
      <c r="G18" s="41">
        <f>SUM(G8:G17)</f>
        <v>215508.94999999998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125270.9</v>
      </c>
      <c r="D21" s="95">
        <f>'DOE25'!G22</f>
        <v>0</v>
      </c>
      <c r="E21" s="95">
        <f>'DOE25'!H22</f>
        <v>54552.6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21353.919999999998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49395.29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31631.72</v>
      </c>
      <c r="D29" s="95">
        <f>'DOE25'!G30</f>
        <v>30021.42</v>
      </c>
      <c r="E29" s="95">
        <f>'DOE25'!H30</f>
        <v>55972.55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227651.83000000002</v>
      </c>
      <c r="D31" s="41">
        <f>SUM(D21:D30)</f>
        <v>30021.42</v>
      </c>
      <c r="E31" s="41">
        <f>SUM(E21:E30)</f>
        <v>110525.15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20914.3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158837.12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625375.9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39678.19</v>
      </c>
      <c r="F47" s="95">
        <f>'DOE25'!I48</f>
        <v>0</v>
      </c>
      <c r="G47" s="95">
        <f>'DOE25'!J48</f>
        <v>215508.94999999998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719926.3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1345302.2000000002</v>
      </c>
      <c r="D50" s="41">
        <f>SUM(D34:D49)</f>
        <v>179751.41999999998</v>
      </c>
      <c r="E50" s="41">
        <f>SUM(E34:E49)</f>
        <v>39678.19</v>
      </c>
      <c r="F50" s="41">
        <f>SUM(F34:F49)</f>
        <v>0</v>
      </c>
      <c r="G50" s="41">
        <f>SUM(G34:G49)</f>
        <v>215508.94999999998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1572954.0300000003</v>
      </c>
      <c r="D51" s="41">
        <f>D50+D31</f>
        <v>209772.83999999997</v>
      </c>
      <c r="E51" s="41">
        <f>E50+E31</f>
        <v>150203.34</v>
      </c>
      <c r="F51" s="41">
        <f>F50+F31</f>
        <v>0</v>
      </c>
      <c r="G51" s="41">
        <f>G50+G31</f>
        <v>215508.94999999998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33813000</v>
      </c>
      <c r="D56" s="95">
        <f>'DOE25'!G60</f>
        <v>0</v>
      </c>
      <c r="E56" s="95">
        <f>'DOE25'!H60</f>
        <v>24114.240000000002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90697.32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18.78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741091.03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712348.80999999994</v>
      </c>
      <c r="D61" s="95">
        <f>SUM('DOE25'!G98:G110)</f>
        <v>6607.26</v>
      </c>
      <c r="E61" s="95">
        <f>SUM('DOE25'!H98:H110)</f>
        <v>34340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712348.80999999994</v>
      </c>
      <c r="D62" s="130">
        <f>SUM(D57:D61)</f>
        <v>747698.29</v>
      </c>
      <c r="E62" s="130">
        <f>SUM(E57:E61)</f>
        <v>125037.32</v>
      </c>
      <c r="F62" s="130">
        <f>SUM(F57:F61)</f>
        <v>0</v>
      </c>
      <c r="G62" s="130">
        <f>SUM(G57:G61)</f>
        <v>18.78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34525348.810000002</v>
      </c>
      <c r="D63" s="22">
        <f>D56+D62</f>
        <v>747698.29</v>
      </c>
      <c r="E63" s="22">
        <f>E56+E62</f>
        <v>149151.56</v>
      </c>
      <c r="F63" s="22">
        <f>F56+F62</f>
        <v>0</v>
      </c>
      <c r="G63" s="22">
        <f>G56+G62</f>
        <v>18.78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2585071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5006733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7591804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961486.4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378583.19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6825.2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946.56</v>
      </c>
      <c r="D77" s="95">
        <f>SUM('DOE25'!G131:G135)</f>
        <v>10278.790000000001</v>
      </c>
      <c r="E77" s="95">
        <f>SUM('DOE25'!H131:H135)</f>
        <v>14529.18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1347841.35</v>
      </c>
      <c r="D78" s="130">
        <f>SUM(D72:D77)</f>
        <v>10278.790000000001</v>
      </c>
      <c r="E78" s="130">
        <f>SUM(E72:E77)</f>
        <v>14529.18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8939645.3499999996</v>
      </c>
      <c r="D81" s="130">
        <f>SUM(D79:D80)+D78+D70</f>
        <v>10278.790000000001</v>
      </c>
      <c r="E81" s="130">
        <f>SUM(E79:E80)+E78+E70</f>
        <v>14529.18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170189.03</v>
      </c>
      <c r="D88" s="95">
        <f>SUM('DOE25'!G153:G161)</f>
        <v>140118.57</v>
      </c>
      <c r="E88" s="95">
        <f>SUM('DOE25'!H153:H161)</f>
        <v>572380.80999999994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170189.03</v>
      </c>
      <c r="D91" s="131">
        <f>SUM(D85:D90)</f>
        <v>140118.57</v>
      </c>
      <c r="E91" s="131">
        <f>SUM(E85:E90)</f>
        <v>572380.80999999994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4128.9399999999996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9669.02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125900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139697.96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43774881.150000006</v>
      </c>
      <c r="D104" s="86">
        <f>D63+D81+D91+D103</f>
        <v>898095.65000000014</v>
      </c>
      <c r="E104" s="86">
        <f>E63+E81+E91+E103</f>
        <v>736061.54999999993</v>
      </c>
      <c r="F104" s="86">
        <f>F63+F81+F91+F103</f>
        <v>0</v>
      </c>
      <c r="G104" s="86">
        <f>G63+G81+G103</f>
        <v>18.78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16289251.190000001</v>
      </c>
      <c r="D109" s="24" t="s">
        <v>289</v>
      </c>
      <c r="E109" s="95">
        <f>('DOE25'!L276)+('DOE25'!L295)+('DOE25'!L314)</f>
        <v>112648.69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6781584.0999999996</v>
      </c>
      <c r="D110" s="24" t="s">
        <v>289</v>
      </c>
      <c r="E110" s="95">
        <f>('DOE25'!L277)+('DOE25'!L296)+('DOE25'!L315)</f>
        <v>429304.9800000001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47047.68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1034463.1</v>
      </c>
      <c r="D112" s="24" t="s">
        <v>289</v>
      </c>
      <c r="E112" s="95">
        <f>+('DOE25'!L279)+('DOE25'!L298)+('DOE25'!L317)</f>
        <v>85912.94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24152346.07</v>
      </c>
      <c r="D115" s="86">
        <f>SUM(D109:D114)</f>
        <v>0</v>
      </c>
      <c r="E115" s="86">
        <f>SUM(E109:E114)</f>
        <v>627866.6100000001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3226537.6099999994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2251109.1500000004</v>
      </c>
      <c r="D119" s="24" t="s">
        <v>289</v>
      </c>
      <c r="E119" s="95">
        <f>+('DOE25'!L282)+('DOE25'!L301)+('DOE25'!L320)</f>
        <v>66406.94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814594.44000000006</v>
      </c>
      <c r="D120" s="24" t="s">
        <v>289</v>
      </c>
      <c r="E120" s="95">
        <f>+('DOE25'!L283)+('DOE25'!L302)+('DOE25'!L321)</f>
        <v>1547.8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1610975.7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541021.0199999999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3965389.62</v>
      </c>
      <c r="D123" s="24" t="s">
        <v>289</v>
      </c>
      <c r="E123" s="95">
        <f>+('DOE25'!L286)+('DOE25'!L305)+('DOE25'!L324)</f>
        <v>38643.42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2226119.8899999997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95722.000000000015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839424.92999999993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14731469.43</v>
      </c>
      <c r="D128" s="86">
        <f>SUM(D118:D127)</f>
        <v>839424.92999999993</v>
      </c>
      <c r="E128" s="86">
        <f>SUM(E118:E127)</f>
        <v>106598.16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542860.22</v>
      </c>
      <c r="D130" s="24" t="s">
        <v>289</v>
      </c>
      <c r="E130" s="129">
        <f>'DOE25'!L336</f>
        <v>0</v>
      </c>
      <c r="F130" s="129">
        <f>SUM('DOE25'!L374:'DOE25'!L380)</f>
        <v>112322.43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2950000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1032287.5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4128.9399999999996</v>
      </c>
      <c r="F134" s="95">
        <f>'DOE25'!K381</f>
        <v>9669.02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16.87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1.91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-18.78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4525147.72</v>
      </c>
      <c r="D144" s="141">
        <f>SUM(D130:D143)</f>
        <v>0</v>
      </c>
      <c r="E144" s="141">
        <f>SUM(E130:E143)</f>
        <v>4128.9399999999996</v>
      </c>
      <c r="F144" s="141">
        <f>SUM(F130:F143)</f>
        <v>121991.45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43408963.219999999</v>
      </c>
      <c r="D145" s="86">
        <f>(D115+D128+D144)</f>
        <v>839424.92999999993</v>
      </c>
      <c r="E145" s="86">
        <f>(E115+E128+E144)</f>
        <v>738593.71000000008</v>
      </c>
      <c r="F145" s="86">
        <f>(F115+F128+F144)</f>
        <v>121991.45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10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06/05</v>
      </c>
      <c r="C152" s="152" t="str">
        <f>'DOE25'!G491</f>
        <v>06/08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07/25</v>
      </c>
      <c r="C153" s="152" t="str">
        <f>'DOE25'!G492</f>
        <v>06/18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42753296</v>
      </c>
      <c r="C154" s="137">
        <f>'DOE25'!G493</f>
        <v>4000000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3.92</v>
      </c>
      <c r="C155" s="137">
        <f>'DOE25'!G494</f>
        <v>3.69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24695000</v>
      </c>
      <c r="C156" s="137">
        <f>'DOE25'!G495</f>
        <v>2240000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26935000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2575000</v>
      </c>
      <c r="C158" s="137">
        <f>'DOE25'!G497</f>
        <v>375000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2950000</v>
      </c>
    </row>
    <row r="159" spans="1:9" x14ac:dyDescent="0.2">
      <c r="A159" s="22" t="s">
        <v>35</v>
      </c>
      <c r="B159" s="137">
        <f>'DOE25'!F498</f>
        <v>22120000</v>
      </c>
      <c r="C159" s="137">
        <f>'DOE25'!G498</f>
        <v>1865000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23985000</v>
      </c>
    </row>
    <row r="160" spans="1:9" x14ac:dyDescent="0.2">
      <c r="A160" s="22" t="s">
        <v>36</v>
      </c>
      <c r="B160" s="137">
        <f>'DOE25'!F499</f>
        <v>5000872.63</v>
      </c>
      <c r="C160" s="137">
        <f>'DOE25'!G499</f>
        <v>243993.75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5244866.38</v>
      </c>
    </row>
    <row r="161" spans="1:7" x14ac:dyDescent="0.2">
      <c r="A161" s="22" t="s">
        <v>37</v>
      </c>
      <c r="B161" s="137">
        <f>'DOE25'!F500</f>
        <v>27120872.629999999</v>
      </c>
      <c r="C161" s="137">
        <f>'DOE25'!G500</f>
        <v>2108993.75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29229866.379999999</v>
      </c>
    </row>
    <row r="162" spans="1:7" x14ac:dyDescent="0.2">
      <c r="A162" s="22" t="s">
        <v>38</v>
      </c>
      <c r="B162" s="137">
        <f>'DOE25'!F501</f>
        <v>2560000</v>
      </c>
      <c r="C162" s="137">
        <f>'DOE25'!G501</f>
        <v>375000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2935000</v>
      </c>
    </row>
    <row r="163" spans="1:7" x14ac:dyDescent="0.2">
      <c r="A163" s="22" t="s">
        <v>39</v>
      </c>
      <c r="B163" s="137">
        <f>'DOE25'!F502</f>
        <v>828250</v>
      </c>
      <c r="C163" s="137">
        <f>'DOE25'!G502</f>
        <v>88068.75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916318.75</v>
      </c>
    </row>
    <row r="164" spans="1:7" x14ac:dyDescent="0.2">
      <c r="A164" s="22" t="s">
        <v>246</v>
      </c>
      <c r="B164" s="137">
        <f>'DOE25'!F503</f>
        <v>3388250</v>
      </c>
      <c r="C164" s="137">
        <f>'DOE25'!G503</f>
        <v>463068.75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3851318.75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Windham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12396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14393</v>
      </c>
    </row>
    <row r="7" spans="1:4" x14ac:dyDescent="0.2">
      <c r="B7" t="s">
        <v>705</v>
      </c>
      <c r="C7" s="179">
        <f>IF('DOE25'!I665+'DOE25'!I670=0,0,ROUND('DOE25'!I672,0))</f>
        <v>12951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16401900</v>
      </c>
      <c r="D10" s="182">
        <f>ROUND((C10/$C$28)*100,1)</f>
        <v>40.299999999999997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7210889</v>
      </c>
      <c r="D11" s="182">
        <f>ROUND((C11/$C$28)*100,1)</f>
        <v>17.7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47048</v>
      </c>
      <c r="D12" s="182">
        <f>ROUND((C12/$C$28)*100,1)</f>
        <v>0.1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1120376</v>
      </c>
      <c r="D13" s="182">
        <f>ROUND((C13/$C$28)*100,1)</f>
        <v>2.7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3226538</v>
      </c>
      <c r="D15" s="182">
        <f t="shared" ref="D15:D27" si="0">ROUND((C15/$C$28)*100,1)</f>
        <v>7.9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2317516</v>
      </c>
      <c r="D16" s="182">
        <f t="shared" si="0"/>
        <v>5.7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911864</v>
      </c>
      <c r="D17" s="182">
        <f t="shared" si="0"/>
        <v>2.2000000000000002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1610976</v>
      </c>
      <c r="D18" s="182">
        <f t="shared" si="0"/>
        <v>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541021</v>
      </c>
      <c r="D19" s="182">
        <f t="shared" si="0"/>
        <v>1.3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4004033</v>
      </c>
      <c r="D20" s="182">
        <f t="shared" si="0"/>
        <v>9.8000000000000007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2226120</v>
      </c>
      <c r="D21" s="182">
        <f t="shared" si="0"/>
        <v>5.5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1032288</v>
      </c>
      <c r="D25" s="182">
        <f t="shared" si="0"/>
        <v>2.5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91726.709999999963</v>
      </c>
      <c r="D27" s="182">
        <f t="shared" si="0"/>
        <v>0.2</v>
      </c>
    </row>
    <row r="28" spans="1:4" x14ac:dyDescent="0.2">
      <c r="B28" s="187" t="s">
        <v>723</v>
      </c>
      <c r="C28" s="180">
        <f>SUM(C10:C27)</f>
        <v>40742295.710000001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655183</v>
      </c>
    </row>
    <row r="30" spans="1:4" x14ac:dyDescent="0.2">
      <c r="B30" s="187" t="s">
        <v>729</v>
      </c>
      <c r="C30" s="180">
        <f>SUM(C28:C29)</f>
        <v>41397478.710000001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2950000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33837114</v>
      </c>
      <c r="D35" s="182">
        <f t="shared" ref="D35:D40" si="1">ROUND((C35/$C$41)*100,1)</f>
        <v>76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837405.15000000596</v>
      </c>
      <c r="D36" s="182">
        <f t="shared" si="1"/>
        <v>1.9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7591804</v>
      </c>
      <c r="D37" s="182">
        <f t="shared" si="1"/>
        <v>17.100000000000001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1372649</v>
      </c>
      <c r="D38" s="182">
        <f t="shared" si="1"/>
        <v>3.1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882688</v>
      </c>
      <c r="D39" s="182">
        <f t="shared" si="1"/>
        <v>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44521660.150000006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6" sqref="A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Windham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>
        <v>3</v>
      </c>
      <c r="B4" s="219">
        <v>24</v>
      </c>
      <c r="C4" s="285" t="s">
        <v>915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5</v>
      </c>
      <c r="B5" s="219">
        <v>11</v>
      </c>
      <c r="C5" s="285" t="s">
        <v>916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2014-09-10T16:04:39Z</cp:lastPrinted>
  <dcterms:created xsi:type="dcterms:W3CDTF">1997-12-04T19:04:30Z</dcterms:created>
  <dcterms:modified xsi:type="dcterms:W3CDTF">2014-12-10T16:08:28Z</dcterms:modified>
</cp:coreProperties>
</file>