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124" i="2" s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L250" i="1"/>
  <c r="L332" i="1"/>
  <c r="L254" i="1"/>
  <c r="C25" i="10"/>
  <c r="L268" i="1"/>
  <c r="L269" i="1"/>
  <c r="C143" i="2" s="1"/>
  <c r="L349" i="1"/>
  <c r="L350" i="1"/>
  <c r="I665" i="1"/>
  <c r="I670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C114" i="2"/>
  <c r="E114" i="2"/>
  <c r="D115" i="2"/>
  <c r="F115" i="2"/>
  <c r="G115" i="2"/>
  <c r="E120" i="2"/>
  <c r="E122" i="2"/>
  <c r="E124" i="2"/>
  <c r="C125" i="2"/>
  <c r="E125" i="2"/>
  <c r="F128" i="2"/>
  <c r="G128" i="2"/>
  <c r="C130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H460" i="1"/>
  <c r="F461" i="1"/>
  <c r="H461" i="1"/>
  <c r="F470" i="1"/>
  <c r="G470" i="1"/>
  <c r="H470" i="1"/>
  <c r="H476" i="1" s="1"/>
  <c r="H624" i="1" s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J571" i="1" s="1"/>
  <c r="K560" i="1"/>
  <c r="K571" i="1" s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H641" i="1"/>
  <c r="G643" i="1"/>
  <c r="H643" i="1"/>
  <c r="G644" i="1"/>
  <c r="G645" i="1"/>
  <c r="G649" i="1"/>
  <c r="G650" i="1"/>
  <c r="G652" i="1"/>
  <c r="H652" i="1"/>
  <c r="G653" i="1"/>
  <c r="H653" i="1"/>
  <c r="G654" i="1"/>
  <c r="H654" i="1"/>
  <c r="H655" i="1"/>
  <c r="J655" i="1" s="1"/>
  <c r="L256" i="1"/>
  <c r="C70" i="2"/>
  <c r="D18" i="13"/>
  <c r="C18" i="13" s="1"/>
  <c r="D17" i="13"/>
  <c r="C17" i="13" s="1"/>
  <c r="F78" i="2"/>
  <c r="F81" i="2" s="1"/>
  <c r="D50" i="2"/>
  <c r="F18" i="2"/>
  <c r="D91" i="2"/>
  <c r="G62" i="2"/>
  <c r="D19" i="13"/>
  <c r="C19" i="13" s="1"/>
  <c r="E78" i="2"/>
  <c r="E81" i="2" s="1"/>
  <c r="L427" i="1"/>
  <c r="J641" i="1"/>
  <c r="J639" i="1"/>
  <c r="L433" i="1"/>
  <c r="I169" i="1"/>
  <c r="H169" i="1"/>
  <c r="J643" i="1"/>
  <c r="J140" i="1"/>
  <c r="G22" i="2"/>
  <c r="J552" i="1"/>
  <c r="C29" i="10"/>
  <c r="H140" i="1"/>
  <c r="L393" i="1"/>
  <c r="C138" i="2" s="1"/>
  <c r="F22" i="13"/>
  <c r="H25" i="13"/>
  <c r="C25" i="13" s="1"/>
  <c r="H571" i="1"/>
  <c r="H192" i="1"/>
  <c r="C35" i="10"/>
  <c r="E16" i="13"/>
  <c r="L570" i="1"/>
  <c r="G36" i="2"/>
  <c r="C22" i="13"/>
  <c r="C16" i="13"/>
  <c r="H33" i="13"/>
  <c r="G476" i="1" l="1"/>
  <c r="H623" i="1" s="1"/>
  <c r="J623" i="1" s="1"/>
  <c r="E31" i="2"/>
  <c r="G461" i="1"/>
  <c r="H640" i="1" s="1"/>
  <c r="J640" i="1" s="1"/>
  <c r="C26" i="10"/>
  <c r="A40" i="12"/>
  <c r="A13" i="12"/>
  <c r="D31" i="2"/>
  <c r="D51" i="2" s="1"/>
  <c r="F661" i="1"/>
  <c r="D29" i="13"/>
  <c r="C29" i="13" s="1"/>
  <c r="J645" i="1"/>
  <c r="H112" i="1"/>
  <c r="H193" i="1" s="1"/>
  <c r="G629" i="1" s="1"/>
  <c r="J629" i="1" s="1"/>
  <c r="E62" i="2"/>
  <c r="E63" i="2" s="1"/>
  <c r="E104" i="2" s="1"/>
  <c r="J649" i="1"/>
  <c r="E118" i="2"/>
  <c r="E109" i="2"/>
  <c r="L560" i="1"/>
  <c r="L571" i="1" s="1"/>
  <c r="F571" i="1"/>
  <c r="L565" i="1"/>
  <c r="L544" i="1"/>
  <c r="L539" i="1"/>
  <c r="H552" i="1"/>
  <c r="L534" i="1"/>
  <c r="J545" i="1"/>
  <c r="I545" i="1"/>
  <c r="K550" i="1"/>
  <c r="H545" i="1"/>
  <c r="G545" i="1"/>
  <c r="G552" i="1"/>
  <c r="K551" i="1"/>
  <c r="L529" i="1"/>
  <c r="K549" i="1"/>
  <c r="L524" i="1"/>
  <c r="F552" i="1"/>
  <c r="G164" i="2"/>
  <c r="G157" i="2"/>
  <c r="G156" i="2"/>
  <c r="K503" i="1"/>
  <c r="K500" i="1"/>
  <c r="K598" i="1"/>
  <c r="G647" i="1" s="1"/>
  <c r="J651" i="1"/>
  <c r="C20" i="10"/>
  <c r="C21" i="10"/>
  <c r="I662" i="1"/>
  <c r="C119" i="2"/>
  <c r="D6" i="13"/>
  <c r="C6" i="13" s="1"/>
  <c r="C112" i="2"/>
  <c r="F257" i="1"/>
  <c r="F271" i="1" s="1"/>
  <c r="C12" i="10"/>
  <c r="L247" i="1"/>
  <c r="C123" i="2"/>
  <c r="E13" i="13"/>
  <c r="C13" i="13" s="1"/>
  <c r="D12" i="13"/>
  <c r="C12" i="13" s="1"/>
  <c r="C121" i="2"/>
  <c r="C120" i="2"/>
  <c r="K257" i="1"/>
  <c r="K271" i="1" s="1"/>
  <c r="D7" i="13"/>
  <c r="C7" i="13" s="1"/>
  <c r="C16" i="10"/>
  <c r="C118" i="2"/>
  <c r="L229" i="1"/>
  <c r="H257" i="1"/>
  <c r="H271" i="1" s="1"/>
  <c r="C110" i="2"/>
  <c r="J257" i="1"/>
  <c r="J271" i="1" s="1"/>
  <c r="I257" i="1"/>
  <c r="I271" i="1" s="1"/>
  <c r="G257" i="1"/>
  <c r="G271" i="1" s="1"/>
  <c r="C122" i="2"/>
  <c r="D15" i="13"/>
  <c r="C15" i="13" s="1"/>
  <c r="H647" i="1"/>
  <c r="J647" i="1" s="1"/>
  <c r="D14" i="13"/>
  <c r="C14" i="13" s="1"/>
  <c r="C19" i="10"/>
  <c r="C18" i="10"/>
  <c r="E8" i="13"/>
  <c r="C8" i="13" s="1"/>
  <c r="C17" i="10"/>
  <c r="C15" i="10"/>
  <c r="L211" i="1"/>
  <c r="C11" i="10"/>
  <c r="D5" i="13"/>
  <c r="C5" i="13" s="1"/>
  <c r="C109" i="2"/>
  <c r="C10" i="10"/>
  <c r="F476" i="1"/>
  <c r="H622" i="1" s="1"/>
  <c r="J622" i="1" s="1"/>
  <c r="L351" i="1"/>
  <c r="E123" i="2"/>
  <c r="L290" i="1"/>
  <c r="L309" i="1"/>
  <c r="E119" i="2"/>
  <c r="G338" i="1"/>
  <c r="G352" i="1" s="1"/>
  <c r="C13" i="10"/>
  <c r="F338" i="1"/>
  <c r="F352" i="1" s="1"/>
  <c r="E112" i="2"/>
  <c r="L328" i="1"/>
  <c r="J338" i="1"/>
  <c r="J352" i="1" s="1"/>
  <c r="H338" i="1"/>
  <c r="H352" i="1" s="1"/>
  <c r="J624" i="1"/>
  <c r="H52" i="1"/>
  <c r="H619" i="1" s="1"/>
  <c r="J619" i="1" s="1"/>
  <c r="D18" i="2"/>
  <c r="J617" i="1"/>
  <c r="C18" i="2"/>
  <c r="J634" i="1"/>
  <c r="H661" i="1"/>
  <c r="G661" i="1"/>
  <c r="L362" i="1"/>
  <c r="C27" i="10" s="1"/>
  <c r="D127" i="2"/>
  <c r="D128" i="2" s="1"/>
  <c r="D145" i="2" s="1"/>
  <c r="I460" i="1"/>
  <c r="I452" i="1"/>
  <c r="I446" i="1"/>
  <c r="G642" i="1" s="1"/>
  <c r="H408" i="1"/>
  <c r="H644" i="1" s="1"/>
  <c r="J644" i="1" s="1"/>
  <c r="I476" i="1"/>
  <c r="H625" i="1" s="1"/>
  <c r="J625" i="1" s="1"/>
  <c r="C78" i="2"/>
  <c r="C81" i="2"/>
  <c r="F112" i="1"/>
  <c r="C36" i="10" s="1"/>
  <c r="C57" i="2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J652" i="1"/>
  <c r="G571" i="1"/>
  <c r="I434" i="1"/>
  <c r="G434" i="1"/>
  <c r="I663" i="1"/>
  <c r="E51" i="2" l="1"/>
  <c r="G51" i="2"/>
  <c r="I661" i="1"/>
  <c r="I461" i="1"/>
  <c r="H642" i="1" s="1"/>
  <c r="J642" i="1" s="1"/>
  <c r="E115" i="2"/>
  <c r="K552" i="1"/>
  <c r="L545" i="1"/>
  <c r="H660" i="1"/>
  <c r="H664" i="1" s="1"/>
  <c r="H672" i="1" s="1"/>
  <c r="C6" i="10" s="1"/>
  <c r="C128" i="2"/>
  <c r="L257" i="1"/>
  <c r="L271" i="1" s="1"/>
  <c r="G632" i="1" s="1"/>
  <c r="J632" i="1" s="1"/>
  <c r="G660" i="1"/>
  <c r="G664" i="1" s="1"/>
  <c r="C115" i="2"/>
  <c r="E33" i="13"/>
  <c r="D35" i="13" s="1"/>
  <c r="F660" i="1"/>
  <c r="F664" i="1" s="1"/>
  <c r="F672" i="1" s="1"/>
  <c r="C4" i="10" s="1"/>
  <c r="C28" i="10"/>
  <c r="D23" i="10" s="1"/>
  <c r="E128" i="2"/>
  <c r="H648" i="1"/>
  <c r="J648" i="1" s="1"/>
  <c r="L338" i="1"/>
  <c r="L352" i="1" s="1"/>
  <c r="G633" i="1" s="1"/>
  <c r="J633" i="1" s="1"/>
  <c r="D31" i="13"/>
  <c r="C31" i="13" s="1"/>
  <c r="G635" i="1"/>
  <c r="J635" i="1" s="1"/>
  <c r="H646" i="1"/>
  <c r="J646" i="1" s="1"/>
  <c r="F193" i="1"/>
  <c r="G627" i="1" s="1"/>
  <c r="J627" i="1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C145" i="2"/>
  <c r="F667" i="1"/>
  <c r="I660" i="1"/>
  <c r="I664" i="1" s="1"/>
  <c r="I672" i="1" s="1"/>
  <c r="C7" i="10" s="1"/>
  <c r="D20" i="10"/>
  <c r="D15" i="10"/>
  <c r="D25" i="10"/>
  <c r="D19" i="10"/>
  <c r="D13" i="10"/>
  <c r="D11" i="10"/>
  <c r="D21" i="10"/>
  <c r="D22" i="10"/>
  <c r="D27" i="10"/>
  <c r="D18" i="10"/>
  <c r="D17" i="10"/>
  <c r="D12" i="10"/>
  <c r="D24" i="10"/>
  <c r="D10" i="10"/>
  <c r="D26" i="10"/>
  <c r="C30" i="10"/>
  <c r="D16" i="10"/>
  <c r="H667" i="1"/>
  <c r="D33" i="13"/>
  <c r="D36" i="13" s="1"/>
  <c r="G667" i="1"/>
  <c r="G672" i="1"/>
  <c r="C5" i="10" s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<sst xmlns="http://schemas.openxmlformats.org/spreadsheetml/2006/main" count="3962" uniqueCount="920">
  <si>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</si>
  <si>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</si>
  <si>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</si>
  <si>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</si>
  <si>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</si>
  <si>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</si>
  <si>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</si>
  <si>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</si>
  <si>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</si>
  <si>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</si>
  <si>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</si>
  <si>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</si>
  <si>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</si>
  <si>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</si>
  <si>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</si>
  <si>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</si>
  <si>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</si>
  <si>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</si>
  <si>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</si>
  <si>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</si>
  <si>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</si>
  <si>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</si>
  <si>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</si>
  <si>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</si>
  <si>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</si>
  <si>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</si>
  <si>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</si>
  <si>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</si>
  <si>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</si>
  <si>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</si>
  <si>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</si>
  <si>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</si>
  <si>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</si>
  <si>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</si>
  <si>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</si>
  <si>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</si>
  <si>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</si>
  <si>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</si>
  <si>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</si>
  <si>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</si>
  <si>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</si>
  <si>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</si>
  <si>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</si>
  <si>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</si>
  <si>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</si>
  <si>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</si>
  <si>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</si>
  <si>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</si>
  <si>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</si>
  <si>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</si>
  <si>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</si>
  <si>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</si>
  <si>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</si>
  <si>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</si>
  <si>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</si>
  <si>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</si>
  <si>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</si>
  <si>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</si>
  <si>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</si>
  <si>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</si>
  <si>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</si>
  <si>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</si>
  <si>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</si>
  <si>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</si>
  <si>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</si>
  <si>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</si>
  <si>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</si>
  <si>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</si>
  <si>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</si>
  <si>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</si>
  <si>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</si>
  <si>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</si>
  <si>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</si>
  <si>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</si>
  <si>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</si>
  <si>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</si>
  <si>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</si>
  <si>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</si>
  <si>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</si>
  <si>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</si>
  <si>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</si>
  <si>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</si>
  <si>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</si>
  <si>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</si>
  <si>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</si>
  <si>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</si>
  <si>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</si>
  <si>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</si>
  <si>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</si>
  <si>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</si>
  <si>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</si>
  <si>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</si>
  <si>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</si>
  <si>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</si>
  <si>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</si>
  <si>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</si>
  <si>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</si>
  <si>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</si>
  <si>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</si>
  <si>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</si>
  <si>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</si>
  <si>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</si>
  <si>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</si>
  <si>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</si>
  <si>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</si>
  <si>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</si>
  <si>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</si>
  <si>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</si>
  <si>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</si>
  <si>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</si>
  <si>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</si>
  <si>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</si>
  <si>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</si>
  <si>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</si>
  <si>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</si>
  <si>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</si>
  <si>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</si>
  <si>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</si>
  <si>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</si>
  <si>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</si>
  <si>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</si>
  <si>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</si>
  <si>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</si>
  <si>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</si>
  <si>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</si>
  <si>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</si>
  <si>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</si>
  <si>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</si>
  <si>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</si>
  <si>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</si>
  <si>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</si>
  <si>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</si>
  <si>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</si>
  <si>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</si>
  <si>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</si>
  <si>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</si>
  <si>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</si>
  <si>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</si>
  <si>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</si>
  <si>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</si>
  <si>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</si>
  <si>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</si>
  <si>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</si>
  <si>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</si>
  <si>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</si>
  <si>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</si>
  <si>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</si>
  <si>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</si>
  <si>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</si>
  <si>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</si>
  <si>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</si>
  <si>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</si>
  <si>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</si>
  <si>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</si>
  <si>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</si>
  <si>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</si>
  <si>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</si>
  <si>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</si>
  <si>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</si>
  <si>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</si>
  <si>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</si>
  <si>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</si>
  <si>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</si>
  <si>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</si>
  <si>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</si>
  <si>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</si>
  <si>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</si>
  <si>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</si>
  <si>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</si>
  <si>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</si>
  <si>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</si>
  <si>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</si>
  <si>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</si>
  <si>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</si>
  <si>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</si>
  <si>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</si>
  <si>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</si>
  <si>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</si>
  <si>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</si>
  <si>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</si>
  <si>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</si>
  <si>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</si>
  <si>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</si>
  <si>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</si>
  <si>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</si>
  <si>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</si>
  <si>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</si>
  <si>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</si>
  <si>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</si>
  <si>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</si>
  <si>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</si>
  <si>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</si>
  <si>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</si>
  <si>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</si>
  <si>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</si>
  <si>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</si>
  <si>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</si>
  <si>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</si>
  <si>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</si>
  <si>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</si>
  <si>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</si>
  <si>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</si>
  <si>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</si>
  <si>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</si>
  <si>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</si>
  <si>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</si>
  <si>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</si>
  <si>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</si>
  <si>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</si>
  <si>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</si>
  <si>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</si>
  <si>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</si>
  <si>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</si>
  <si>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</si>
  <si>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</si>
  <si>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</si>
  <si>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</si>
  <si>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</si>
  <si>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</si>
  <si>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</si>
  <si>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</si>
  <si>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</si>
  <si>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</si>
  <si>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</si>
  <si>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</si>
  <si>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</si>
  <si>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</si>
  <si>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</si>
  <si>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</si>
  <si>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</si>
  <si>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</si>
  <si>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</si>
  <si>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</si>
  <si>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</si>
  <si>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</si>
  <si>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</si>
  <si>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</si>
  <si>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</si>
  <si>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</si>
  <si>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</si>
  <si>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</si>
  <si>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</si>
  <si>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</si>
  <si>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</si>
  <si>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</si>
  <si>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</si>
  <si>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</si>
  <si>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</si>
  <si>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</si>
  <si>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</si>
  <si>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</si>
  <si>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</si>
  <si>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</si>
  <si>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</si>
  <si>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</si>
  <si>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</si>
  <si>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</si>
  <si>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</si>
  <si>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</si>
  <si>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</si>
  <si>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</si>
  <si>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</si>
  <si>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</si>
  <si>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</si>
  <si>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</si>
  <si>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</si>
  <si>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</si>
  <si>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</si>
  <si>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</si>
  <si>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</si>
  <si>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</si>
  <si>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</si>
  <si>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</si>
  <si>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</si>
  <si>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</si>
  <si>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</si>
  <si>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</si>
  <si>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</si>
  <si>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</si>
  <si>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</si>
  <si>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</si>
  <si>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</si>
  <si>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</si>
  <si>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</si>
  <si>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</si>
  <si>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</si>
  <si>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</si>
  <si>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</si>
  <si>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</si>
  <si>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</si>
  <si>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</si>
  <si>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</si>
  <si>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</si>
  <si>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</si>
  <si>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</si>
  <si>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</si>
  <si>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</si>
  <si>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</si>
  <si>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</si>
  <si>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</si>
  <si>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</si>
  <si>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</si>
  <si>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</si>
  <si>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</si>
  <si>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</si>
  <si>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</si>
  <si>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</si>
  <si>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</si>
  <si>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</si>
  <si>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</si>
  <si>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</si>
  <si>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</si>
  <si>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</si>
  <si>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</si>
  <si>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</si>
  <si>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</si>
  <si>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</si>
  <si>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</si>
  <si>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</si>
  <si>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</si>
  <si>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</si>
  <si>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</si>
  <si>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</si>
  <si>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</si>
  <si>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</si>
  <si>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</si>
  <si>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</si>
  <si>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</si>
  <si>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</si>
  <si>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</si>
  <si>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</si>
  <si>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</si>
  <si>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</si>
  <si>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</si>
  <si>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</si>
  <si>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</si>
  <si>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</si>
  <si>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</si>
  <si>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</si>
  <si>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</si>
  <si>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</si>
  <si>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</si>
  <si>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</si>
  <si>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</si>
  <si>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</si>
  <si>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</si>
  <si>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</si>
  <si>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</si>
  <si>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</si>
  <si>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</si>
  <si>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</si>
  <si>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</si>
  <si>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</si>
  <si>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</si>
  <si>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</si>
  <si>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</si>
  <si>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</si>
  <si>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</si>
  <si>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</si>
  <si>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</si>
  <si>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</si>
  <si>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</si>
  <si>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</si>
  <si>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</si>
  <si>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</si>
  <si>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</si>
  <si>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</si>
  <si>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</si>
  <si>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</si>
  <si>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</si>
  <si>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</si>
  <si>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</si>
  <si>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</si>
  <si>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</si>
  <si>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</si>
  <si>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</si>
  <si>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</si>
  <si>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</si>
  <si>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</si>
  <si>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</si>
  <si>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</si>
  <si>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</si>
  <si>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</si>
  <si>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</si>
  <si>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</si>
  <si>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</si>
  <si>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</si>
  <si>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</si>
  <si>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</si>
  <si>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</si>
  <si>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</si>
  <si>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</si>
  <si>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</si>
  <si>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</si>
  <si>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</si>
  <si>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</si>
  <si>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</si>
  <si>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</si>
  <si>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</si>
  <si>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</si>
  <si>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</si>
  <si>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</si>
  <si>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</si>
  <si>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</si>
  <si>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</si>
  <si>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</si>
  <si>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</si>
  <si>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</si>
  <si>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</si>
  <si>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</si>
  <si>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</si>
  <si>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</si>
  <si>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</si>
  <si>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</si>
  <si>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</si>
  <si>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</si>
  <si>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</si>
  <si>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</si>
  <si>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</si>
  <si>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</si>
  <si>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</si>
  <si>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</si>
  <si>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</si>
  <si>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</si>
  <si>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</si>
  <si>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</si>
  <si>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</si>
  <si>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</si>
  <si>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</si>
  <si>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</si>
  <si>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</si>
  <si>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</si>
  <si>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</si>
  <si>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</si>
  <si>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</si>
  <si>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</si>
  <si>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</si>
  <si>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</si>
  <si>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</si>
  <si>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</si>
  <si>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</si>
  <si>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</si>
  <si>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</si>
  <si>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</si>
  <si>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</si>
  <si>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</si>
  <si>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</si>
  <si>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</si>
  <si>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</si>
  <si>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</si>
  <si>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</si>
  <si>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</si>
  <si>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</si>
  <si>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</si>
  <si>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</si>
  <si>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</si>
  <si>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</si>
  <si>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</si>
  <si>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</si>
  <si>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</si>
  <si>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</si>
  <si>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</si>
  <si>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</si>
  <si>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</si>
  <si>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</si>
  <si>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</si>
  <si>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</si>
  <si>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</si>
  <si>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</si>
  <si>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</si>
  <si>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</si>
  <si>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</si>
  <si>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</si>
  <si>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</si>
  <si>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</si>
  <si>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</si>
  <si>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</si>
  <si>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</si>
  <si>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</si>
  <si>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</si>
  <si>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</si>
  <si>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</si>
  <si>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</si>
  <si>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</si>
  <si>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</si>
  <si>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</si>
  <si>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</si>
  <si>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</si>
  <si>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</si>
  <si>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</si>
  <si>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</si>
  <si>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</si>
  <si>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</si>
  <si>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</si>
  <si>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</si>
  <si>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</si>
  <si>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</si>
  <si>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</si>
  <si>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</si>
  <si>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</si>
  <si>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</si>
  <si>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</si>
  <si>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</si>
  <si>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</si>
  <si>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</si>
  <si>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</si>
  <si>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</si>
  <si>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</si>
  <si>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</si>
  <si>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</si>
  <si>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</si>
  <si>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</si>
  <si>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</si>
  <si>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</si>
  <si>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</si>
  <si>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</si>
  <si>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</si>
  <si>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</si>
  <si>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</si>
  <si>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</si>
  <si>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</si>
  <si>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</si>
  <si>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</si>
  <si>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</si>
  <si>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</si>
  <si>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</si>
  <si>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</si>
  <si>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</si>
  <si>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</si>
  <si>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</si>
  <si>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</si>
  <si>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</si>
  <si>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</si>
  <si>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</si>
  <si>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</si>
  <si>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</si>
  <si>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</si>
  <si>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</si>
  <si>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</si>
  <si>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</si>
  <si>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</si>
  <si>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</si>
  <si>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</si>
  <si>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</si>
  <si>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</si>
  <si>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</si>
  <si>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</si>
  <si>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</si>
  <si>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</si>
  <si>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</si>
  <si>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</si>
  <si>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</si>
  <si>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</si>
  <si>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</si>
  <si>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</si>
  <si>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</si>
  <si>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</si>
  <si>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</si>
  <si>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</si>
  <si>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</si>
  <si>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</si>
  <si>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</si>
  <si>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</si>
  <si>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</si>
  <si>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</si>
  <si>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</si>
  <si>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</si>
  <si>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</si>
  <si>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</si>
  <si>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</si>
  <si>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</si>
  <si>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</si>
  <si>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</si>
  <si>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</si>
  <si>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</si>
  <si>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</si>
  <si>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</si>
  <si>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</si>
  <si>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</si>
  <si>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</si>
  <si>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</si>
  <si>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</si>
  <si>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</si>
  <si>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</si>
  <si>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</si>
  <si>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</si>
  <si>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</si>
  <si>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</si>
  <si>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</si>
  <si>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</si>
  <si>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</si>
  <si>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</si>
  <si>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</si>
  <si>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</si>
  <si>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</si>
  <si>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</si>
  <si>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</si>
  <si>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</si>
  <si>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</si>
  <si>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</si>
  <si>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</si>
  <si>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</si>
  <si>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</si>
  <si>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</si>
  <si>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</si>
  <si>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</si>
  <si>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</si>
  <si>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</si>
  <si>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</si>
  <si>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</si>
  <si>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</si>
  <si>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</si>
  <si>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</si>
  <si>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</si>
  <si>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</si>
  <si>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</si>
  <si>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</si>
  <si>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</si>
  <si>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</si>
  <si>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</si>
  <si>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</si>
  <si>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</si>
  <si>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</si>
  <si>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</si>
  <si>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</si>
  <si>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</si>
  <si>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</si>
  <si>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</si>
  <si>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</si>
  <si>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</si>
  <si>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</si>
  <si>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</si>
  <si>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</si>
  <si>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</si>
  <si>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</si>
  <si>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</si>
  <si>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</si>
  <si>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</si>
  <si>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</si>
  <si>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</si>
  <si>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</si>
  <si>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</si>
  <si>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</si>
  <si>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</si>
  <si>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</si>
  <si>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</si>
  <si>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</si>
  <si>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</si>
  <si>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</si>
  <si>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</si>
  <si>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</si>
  <si>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</si>
  <si>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</si>
  <si>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</si>
  <si>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</si>
  <si>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</si>
  <si>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</si>
  <si>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</si>
  <si>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</si>
  <si>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</si>
  <si>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</si>
  <si>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</si>
  <si>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</si>
  <si>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</si>
  <si>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</si>
  <si>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</si>
  <si>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</si>
  <si>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</si>
  <si>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</si>
  <si>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</si>
  <si>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</si>
  <si>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</si>
  <si>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</si>
  <si>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</si>
  <si>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</si>
  <si>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</si>
  <si>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</si>
  <si>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</si>
  <si>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</si>
  <si>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</si>
  <si>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</si>
  <si>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</si>
  <si>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</si>
  <si>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</si>
  <si>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</si>
  <si>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</si>
  <si>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</si>
  <si>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</si>
  <si>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</si>
  <si>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</si>
  <si>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</si>
  <si>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</si>
  <si>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</si>
  <si>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</si>
  <si>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</si>
  <si>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</si>
  <si>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</si>
  <si>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</si>
  <si>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</si>
  <si>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</si>
  <si>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</si>
  <si>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</si>
  <si>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</si>
  <si>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</si>
  <si>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</si>
  <si>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</si>
  <si>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</si>
  <si>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</si>
  <si>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</si>
  <si>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</si>
  <si>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</si>
  <si>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</si>
  <si>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</si>
  <si>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</si>
  <si>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</si>
  <si>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</si>
  <si>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</si>
  <si>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</si>
  <si>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</si>
  <si>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</si>
  <si>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</si>
  <si>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</si>
  <si>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</si>
  <si>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</si>
  <si>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</si>
  <si>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</si>
  <si>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</si>
  <si>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</si>
  <si>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</si>
  <si>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</si>
  <si>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</si>
  <si>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</si>
  <si>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</si>
  <si>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</si>
  <si>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</si>
  <si>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</si>
  <si>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</si>
  <si>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</si>
  <si>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</si>
  <si>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</si>
  <si>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</si>
  <si>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</si>
  <si>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</si>
  <si>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</si>
  <si>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</si>
  <si>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</si>
  <si>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</si>
  <si>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</si>
  <si>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</si>
  <si>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</si>
  <si>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</si>
  <si>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</si>
  <si>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</si>
  <si>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</si>
  <si>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</si>
  <si>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</si>
  <si>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</si>
  <si>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</si>
  <si>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</si>
  <si>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</si>
  <si>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</si>
  <si>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</si>
  <si>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</si>
  <si>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</si>
  <si>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</si>
  <si>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</si>
  <si>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</si>
  <si>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</si>
  <si>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</si>
  <si>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</si>
  <si>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</si>
  <si>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</si>
  <si>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</si>
  <si>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</si>
  <si>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</si>
  <si>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</si>
  <si>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</si>
  <si>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</si>
  <si>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</si>
  <si>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</si>
  <si>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</si>
  <si>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</si>
  <si>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</si>
  <si>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</si>
  <si>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</si>
  <si>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</si>
  <si>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</si>
  <si>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</si>
  <si>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</si>
  <si>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</si>
  <si>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</si>
  <si>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</si>
  <si>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</si>
  <si>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</si>
  <si>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</si>
  <si>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</si>
  <si>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</si>
  <si>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</si>
  <si>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</si>
  <si>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</si>
  <si>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</si>
  <si>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</si>
  <si>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</si>
  <si>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</si>
  <si>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</si>
  <si>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</si>
  <si>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</si>
  <si>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</si>
  <si>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</si>
  <si>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</si>
  <si>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</si>
  <si>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</si>
  <si>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</si>
  <si>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</si>
  <si>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</si>
  <si>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</si>
  <si>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</si>
  <si>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</si>
  <si>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</si>
  <si>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</si>
  <si>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</si>
  <si>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</si>
  <si>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</si>
  <si>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</si>
  <si>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</si>
  <si>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</si>
  <si>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</si>
  <si>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</si>
  <si>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</si>
  <si>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</si>
  <si>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</si>
  <si>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</si>
  <si>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</si>
  <si>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</si>
  <si>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</si>
  <si>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</si>
  <si>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</si>
  <si>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</si>
  <si>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</si>
  <si>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</si>
  <si>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</si>
  <si>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</si>
  <si>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</si>
  <si>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</si>
  <si>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</si>
  <si>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</si>
  <si>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</si>
  <si>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</si>
  <si>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</si>
  <si>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</si>
  <si>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</si>
  <si>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</si>
  <si>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</si>
  <si>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</si>
  <si>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</si>
  <si>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</si>
  <si>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</si>
  <si>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</si>
  <si>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</si>
  <si>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</si>
  <si>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</si>
  <si>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</si>
  <si>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</si>
  <si>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</si>
  <si>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</si>
  <si>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</si>
  <si>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</si>
  <si>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</si>
  <si>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</si>
  <si>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</si>
  <si>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</si>
  <si>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</si>
  <si>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</si>
  <si>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</si>
  <si>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</si>
  <si>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</si>
  <si>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</si>
  <si>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</si>
  <si>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</si>
  <si>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</si>
  <si>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</si>
  <si>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</si>
  <si>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</si>
  <si>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</si>
  <si>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</si>
  <si>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</si>
  <si>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</si>
  <si>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</si>
  <si>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</si>
  <si>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</si>
  <si>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</si>
  <si>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</si>
  <si>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</si>
  <si>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</si>
  <si>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</si>
  <si>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</si>
  <si>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</si>
  <si>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</si>
  <si>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</si>
  <si>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</si>
  <si>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</si>
  <si>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</si>
  <si>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</si>
  <si>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</si>
  <si>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</si>
  <si>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</si>
  <si>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</si>
  <si>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</si>
  <si>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</si>
  <si>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</si>
  <si>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</si>
  <si>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1/03</t>
  </si>
  <si>
    <t>1/15</t>
  </si>
  <si>
    <t>3/11</t>
  </si>
  <si>
    <t>8/21</t>
  </si>
  <si>
    <t>12/11</t>
  </si>
  <si>
    <t>12/25</t>
  </si>
  <si>
    <t>WRSD received a return of surplus contribution of $271,268.34 for calendar year 2010 and $37,712.38 for calendar year 2011.</t>
  </si>
  <si>
    <t>We returned contributions to employees and retirees in the amount of $46,419.77 for a net of $262,560.95 for prior year refunds</t>
  </si>
  <si>
    <t>Winnisquam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</si>
</sst>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919</v>
      </c>
      <c r="B2" s="21">
        <v>582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1425953.1</v>
      </c>
      <c r="G9" s="18">
        <v>1248.06</v>
      </c>
      <c r="H9" s="18">
        <v>15778.78</v>
      </c>
      <c r="I9" s="18"/>
      <c r="J9" s="67">
        <f>SUM(I439)</f>
        <v>1122425.76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385934.17</v>
      </c>
      <c r="G12" s="18">
        <v>142792.04999999999</v>
      </c>
      <c r="H12" s="18">
        <v>11535.88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27289.9</v>
      </c>
      <c r="H13" s="18">
        <v>217594.1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87844.59</v>
      </c>
      <c r="G14" s="18">
        <v>3484.55</v>
      </c>
      <c r="H14" s="18">
        <v>4064.46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43014.28</v>
      </c>
      <c r="G17" s="18">
        <v>865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1942746.1400000001</v>
      </c>
      <c r="G19" s="41">
        <f>SUM(G9:G18)</f>
        <v>175679.55999999997</v>
      </c>
      <c r="H19" s="41">
        <f>SUM(H9:H18)</f>
        <v>248973.22</v>
      </c>
      <c r="I19" s="41">
        <f>SUM(I9:I18)</f>
        <v>0</v>
      </c>
      <c r="J19" s="41">
        <f>SUM(J9:J18)</f>
        <v>1122425.76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280366.73</v>
      </c>
      <c r="G22" s="18"/>
      <c r="H22" s="18">
        <v>217594.1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298399.39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121761.29</v>
      </c>
      <c r="G28" s="18">
        <v>5799.33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423569.53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8513.2099999999991</v>
      </c>
      <c r="H30" s="18">
        <v>12085.46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2726.91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1126823.8499999999</v>
      </c>
      <c r="G32" s="41">
        <f>SUM(G22:G31)</f>
        <v>14312.539999999999</v>
      </c>
      <c r="H32" s="41">
        <f>SUM(H22:H31)</f>
        <v>229679.56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308974.68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161367.01999999999</v>
      </c>
      <c r="H48" s="18">
        <v>19293.66</v>
      </c>
      <c r="I48" s="18"/>
      <c r="J48" s="13">
        <f>SUM(I459)</f>
        <v>1122425.76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56947.61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815922.28999999992</v>
      </c>
      <c r="G51" s="41">
        <f>SUM(G35:G50)</f>
        <v>161367.01999999999</v>
      </c>
      <c r="H51" s="41">
        <f>SUM(H35:H50)</f>
        <v>19293.66</v>
      </c>
      <c r="I51" s="41">
        <f>SUM(I35:I50)</f>
        <v>0</v>
      </c>
      <c r="J51" s="41">
        <f>SUM(J35:J50)</f>
        <v>1122425.76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1942746.1399999997</v>
      </c>
      <c r="G52" s="41">
        <f>G51+G32</f>
        <v>175679.56</v>
      </c>
      <c r="H52" s="41">
        <f>H51+H32</f>
        <v>248973.22</v>
      </c>
      <c r="I52" s="41">
        <f>I51+I32</f>
        <v>0</v>
      </c>
      <c r="J52" s="41">
        <f>J51+J32</f>
        <v>1122425.76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11525017.01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11525017.01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6215</v>
      </c>
      <c r="G64" s="24" t="s">
        <v>289</v>
      </c>
      <c r="H64" s="18">
        <v>1614.7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78231.44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40878.33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125324.77</v>
      </c>
      <c r="G79" s="45" t="s">
        <v>289</v>
      </c>
      <c r="H79" s="41">
        <f>SUM(H63:H78)</f>
        <v>1614.7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6180.29</v>
      </c>
      <c r="G96" s="18"/>
      <c r="H96" s="18">
        <v>15.28</v>
      </c>
      <c r="I96" s="18"/>
      <c r="J96" s="18">
        <v>1941.19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315882.58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1605.5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5753.03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40007.75</v>
      </c>
      <c r="G102" s="18"/>
      <c r="H102" s="18">
        <v>10868.98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802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265900.17</v>
      </c>
      <c r="G109" s="18"/>
      <c r="H109" s="18"/>
      <c r="I109" s="18">
        <v>3787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158816.37</v>
      </c>
      <c r="G110" s="18"/>
      <c r="H110" s="18">
        <v>2726.91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479065.11</v>
      </c>
      <c r="G111" s="41">
        <f>SUM(G96:G110)</f>
        <v>315882.58</v>
      </c>
      <c r="H111" s="41">
        <f>SUM(H96:H110)</f>
        <v>13611.17</v>
      </c>
      <c r="I111" s="41">
        <f>SUM(I96:I110)</f>
        <v>3787</v>
      </c>
      <c r="J111" s="41">
        <f>SUM(J96:J110)</f>
        <v>1941.19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12129406.889999999</v>
      </c>
      <c r="G112" s="41">
        <f>G60+G111</f>
        <v>315882.58</v>
      </c>
      <c r="H112" s="41">
        <f>H60+H79+H94+H111</f>
        <v>15225.87</v>
      </c>
      <c r="I112" s="41">
        <f>I60+I111</f>
        <v>3787</v>
      </c>
      <c r="J112" s="41">
        <f>J60+J111</f>
        <v>1941.19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6404801.6200000001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2907756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9312557.620000001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864140.53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232795.84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59789.96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12919.99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9158.23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1113.5999999999999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1170759.9200000002</v>
      </c>
      <c r="G136" s="41">
        <f>SUM(G123:G135)</f>
        <v>9158.23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10483317.540000001</v>
      </c>
      <c r="G140" s="41">
        <f>G121+SUM(G136:G137)</f>
        <v>9158.23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388375.24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104004.53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31284.33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300244.15999999997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369205.99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257581.16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25105.82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257581.16</v>
      </c>
      <c r="G162" s="41">
        <f>SUM(G150:G161)</f>
        <v>325349.98</v>
      </c>
      <c r="H162" s="41">
        <f>SUM(H150:H161)</f>
        <v>892870.09000000008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257581.16</v>
      </c>
      <c r="G169" s="41">
        <f>G147+G162+SUM(G163:G168)</f>
        <v>325349.98</v>
      </c>
      <c r="H169" s="41">
        <f>H147+H162+SUM(H163:H168)</f>
        <v>892870.09000000008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9000</v>
      </c>
      <c r="H179" s="18"/>
      <c r="I179" s="18"/>
      <c r="J179" s="18">
        <v>475000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3327.9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43341.09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46668.99</v>
      </c>
      <c r="G183" s="41">
        <f>SUM(G179:G182)</f>
        <v>9000</v>
      </c>
      <c r="H183" s="41">
        <f>SUM(H179:H182)</f>
        <v>0</v>
      </c>
      <c r="I183" s="41">
        <f>SUM(I179:I182)</f>
        <v>0</v>
      </c>
      <c r="J183" s="41">
        <f>SUM(J179:J182)</f>
        <v>475000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19006.2</v>
      </c>
      <c r="G185" s="18"/>
      <c r="H185" s="18">
        <v>19006.2</v>
      </c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19006.2</v>
      </c>
      <c r="G188" s="41">
        <f>SUM(G185:G187)</f>
        <v>0</v>
      </c>
      <c r="H188" s="41">
        <f>SUM(H185:H187)</f>
        <v>19006.2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65675.19</v>
      </c>
      <c r="G192" s="41">
        <f>G183+SUM(G188:G191)</f>
        <v>9000</v>
      </c>
      <c r="H192" s="41">
        <f>+H183+SUM(H188:H191)</f>
        <v>19006.2</v>
      </c>
      <c r="I192" s="41">
        <f>I177+I183+SUM(I188:I191)</f>
        <v>0</v>
      </c>
      <c r="J192" s="41">
        <f>J183</f>
        <v>475000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22935980.780000001</v>
      </c>
      <c r="G193" s="47">
        <f>G112+G140+G169+G192</f>
        <v>659390.79</v>
      </c>
      <c r="H193" s="47">
        <f>H112+H140+H169+H192</f>
        <v>927102.16</v>
      </c>
      <c r="I193" s="47">
        <f>I112+I140+I169+I192</f>
        <v>3787</v>
      </c>
      <c r="J193" s="47">
        <f>J112+J140+J192</f>
        <v>476941.19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2212355.64</v>
      </c>
      <c r="G197" s="18">
        <v>939577.52</v>
      </c>
      <c r="H197" s="18">
        <v>1700</v>
      </c>
      <c r="I197" s="18">
        <v>119444.25</v>
      </c>
      <c r="J197" s="18">
        <v>11924.57</v>
      </c>
      <c r="K197" s="18"/>
      <c r="L197" s="19">
        <f>SUM(F197:K197)</f>
        <v>3285001.98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806661.04</v>
      </c>
      <c r="G198" s="18">
        <v>302113.2</v>
      </c>
      <c r="H198" s="18">
        <v>348457.59</v>
      </c>
      <c r="I198" s="18">
        <v>7163.43</v>
      </c>
      <c r="J198" s="18">
        <v>149.28</v>
      </c>
      <c r="K198" s="18">
        <v>8584.1</v>
      </c>
      <c r="L198" s="19">
        <f>SUM(F198:K198)</f>
        <v>1473128.6400000001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3000.08</v>
      </c>
      <c r="G200" s="18">
        <v>569.54999999999995</v>
      </c>
      <c r="H200" s="18"/>
      <c r="I200" s="18"/>
      <c r="J200" s="18"/>
      <c r="K200" s="18"/>
      <c r="L200" s="19">
        <f>SUM(F200:K200)</f>
        <v>3569.63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340090.46</v>
      </c>
      <c r="G202" s="18">
        <v>169058.28</v>
      </c>
      <c r="H202" s="18">
        <v>38076.120000000003</v>
      </c>
      <c r="I202" s="18">
        <v>7368.19</v>
      </c>
      <c r="J202" s="18">
        <v>1500.15</v>
      </c>
      <c r="K202" s="18">
        <v>308</v>
      </c>
      <c r="L202" s="19">
        <f t="shared" ref="L202:L208" si="0">SUM(F202:K202)</f>
        <v>556401.19999999995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76348.23</v>
      </c>
      <c r="G203" s="18">
        <v>69416.59</v>
      </c>
      <c r="H203" s="18">
        <v>25064.46</v>
      </c>
      <c r="I203" s="18">
        <v>15820.65</v>
      </c>
      <c r="J203" s="18"/>
      <c r="K203" s="18">
        <v>660.05</v>
      </c>
      <c r="L203" s="19">
        <f t="shared" si="0"/>
        <v>187309.97999999998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301083.78000000003</v>
      </c>
      <c r="G204" s="18">
        <v>128645.35</v>
      </c>
      <c r="H204" s="18">
        <v>135197.74</v>
      </c>
      <c r="I204" s="18">
        <v>16212.07</v>
      </c>
      <c r="J204" s="18">
        <v>77718.31</v>
      </c>
      <c r="K204" s="18">
        <v>3775.67</v>
      </c>
      <c r="L204" s="19">
        <f t="shared" si="0"/>
        <v>662632.92000000004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369387</v>
      </c>
      <c r="G205" s="18">
        <v>165509.59</v>
      </c>
      <c r="H205" s="18">
        <v>5340.06</v>
      </c>
      <c r="I205" s="18">
        <v>949.28</v>
      </c>
      <c r="J205" s="18"/>
      <c r="K205" s="18">
        <v>3067.5</v>
      </c>
      <c r="L205" s="19">
        <f t="shared" si="0"/>
        <v>544253.43000000005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95010.65</v>
      </c>
      <c r="G206" s="18">
        <v>41222.629999999997</v>
      </c>
      <c r="H206" s="18"/>
      <c r="I206" s="18"/>
      <c r="J206" s="18"/>
      <c r="K206" s="18"/>
      <c r="L206" s="19">
        <f t="shared" si="0"/>
        <v>136233.28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308634.83</v>
      </c>
      <c r="G207" s="18">
        <v>157769.43</v>
      </c>
      <c r="H207" s="18">
        <v>334761.56</v>
      </c>
      <c r="I207" s="18">
        <v>213068.25</v>
      </c>
      <c r="J207" s="18">
        <v>30401.119999999999</v>
      </c>
      <c r="K207" s="18">
        <v>590.21</v>
      </c>
      <c r="L207" s="19">
        <f t="shared" si="0"/>
        <v>1045225.4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329614.76</v>
      </c>
      <c r="I208" s="18">
        <v>115012.81</v>
      </c>
      <c r="J208" s="18"/>
      <c r="K208" s="18"/>
      <c r="L208" s="19">
        <f t="shared" si="0"/>
        <v>444627.57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4512571.7100000009</v>
      </c>
      <c r="G211" s="41">
        <f t="shared" si="1"/>
        <v>1973882.1400000001</v>
      </c>
      <c r="H211" s="41">
        <f t="shared" si="1"/>
        <v>1218212.29</v>
      </c>
      <c r="I211" s="41">
        <f t="shared" si="1"/>
        <v>495038.93</v>
      </c>
      <c r="J211" s="41">
        <f t="shared" si="1"/>
        <v>121693.43</v>
      </c>
      <c r="K211" s="41">
        <f t="shared" si="1"/>
        <v>16985.53</v>
      </c>
      <c r="L211" s="41">
        <f t="shared" si="1"/>
        <v>8338384.0300000003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1386610.74</v>
      </c>
      <c r="G215" s="18">
        <v>576502.99</v>
      </c>
      <c r="H215" s="18">
        <v>1036.5</v>
      </c>
      <c r="I215" s="18">
        <v>80932.61</v>
      </c>
      <c r="J215" s="18">
        <v>27105.919999999998</v>
      </c>
      <c r="K215" s="18">
        <v>795</v>
      </c>
      <c r="L215" s="19">
        <f>SUM(F215:K215)</f>
        <v>2072983.76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383623.63</v>
      </c>
      <c r="G216" s="18">
        <v>120672.25</v>
      </c>
      <c r="H216" s="18">
        <v>234019.3</v>
      </c>
      <c r="I216" s="18">
        <v>2419.2800000000002</v>
      </c>
      <c r="J216" s="18">
        <v>81.81</v>
      </c>
      <c r="K216" s="18">
        <v>15440.69</v>
      </c>
      <c r="L216" s="19">
        <f>SUM(F216:K216)</f>
        <v>756256.96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92445.69</v>
      </c>
      <c r="G218" s="18">
        <v>26494.19</v>
      </c>
      <c r="H218" s="18">
        <v>17787.37</v>
      </c>
      <c r="I218" s="18">
        <v>10029.01</v>
      </c>
      <c r="J218" s="18">
        <v>3065.14</v>
      </c>
      <c r="K218" s="18">
        <v>2672</v>
      </c>
      <c r="L218" s="19">
        <f>SUM(F218:K218)</f>
        <v>152493.40000000002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201079.98</v>
      </c>
      <c r="G220" s="18">
        <v>91788.99</v>
      </c>
      <c r="H220" s="18">
        <v>58967.68</v>
      </c>
      <c r="I220" s="18">
        <v>6322.67</v>
      </c>
      <c r="J220" s="18">
        <v>563.46</v>
      </c>
      <c r="K220" s="18">
        <v>414</v>
      </c>
      <c r="L220" s="19">
        <f t="shared" ref="L220:L226" si="2">SUM(F220:K220)</f>
        <v>359136.78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72755.78</v>
      </c>
      <c r="G221" s="18">
        <v>54475.37</v>
      </c>
      <c r="H221" s="18">
        <v>13850.76</v>
      </c>
      <c r="I221" s="18">
        <v>19756.37</v>
      </c>
      <c r="J221" s="18">
        <v>684</v>
      </c>
      <c r="K221" s="18">
        <v>361.73</v>
      </c>
      <c r="L221" s="19">
        <f t="shared" si="2"/>
        <v>161884.01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165005.16</v>
      </c>
      <c r="G222" s="18">
        <v>70502.460000000006</v>
      </c>
      <c r="H222" s="18">
        <v>74093.41</v>
      </c>
      <c r="I222" s="18">
        <v>9597.19</v>
      </c>
      <c r="J222" s="18">
        <v>76189.95</v>
      </c>
      <c r="K222" s="18">
        <v>2069.21</v>
      </c>
      <c r="L222" s="19">
        <f t="shared" si="2"/>
        <v>397457.38000000006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232553.29</v>
      </c>
      <c r="G223" s="18">
        <v>120288.19</v>
      </c>
      <c r="H223" s="18">
        <v>4962.5</v>
      </c>
      <c r="I223" s="18">
        <v>6706.68</v>
      </c>
      <c r="J223" s="18">
        <v>78.069999999999993</v>
      </c>
      <c r="K223" s="18">
        <v>1990</v>
      </c>
      <c r="L223" s="19">
        <f t="shared" si="2"/>
        <v>366578.73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52069.38</v>
      </c>
      <c r="G224" s="18">
        <v>22591.54</v>
      </c>
      <c r="H224" s="18"/>
      <c r="I224" s="18"/>
      <c r="J224" s="18"/>
      <c r="K224" s="18"/>
      <c r="L224" s="19">
        <f t="shared" si="2"/>
        <v>74660.92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140075.18</v>
      </c>
      <c r="G225" s="18">
        <v>71868.44</v>
      </c>
      <c r="H225" s="18">
        <v>410301.02</v>
      </c>
      <c r="I225" s="18">
        <v>73539.88</v>
      </c>
      <c r="J225" s="18">
        <v>27090.18</v>
      </c>
      <c r="K225" s="18">
        <v>323.45999999999998</v>
      </c>
      <c r="L225" s="19">
        <f t="shared" si="2"/>
        <v>723198.16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197400.44</v>
      </c>
      <c r="I226" s="18">
        <v>63031.32</v>
      </c>
      <c r="J226" s="18"/>
      <c r="K226" s="18"/>
      <c r="L226" s="19">
        <f t="shared" si="2"/>
        <v>260431.76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2726218.83</v>
      </c>
      <c r="G229" s="41">
        <f>SUM(G215:G228)</f>
        <v>1155184.42</v>
      </c>
      <c r="H229" s="41">
        <f>SUM(H215:H228)</f>
        <v>1012418.98</v>
      </c>
      <c r="I229" s="41">
        <f>SUM(I215:I228)</f>
        <v>272335.01</v>
      </c>
      <c r="J229" s="41">
        <f>SUM(J215:J228)</f>
        <v>134858.53</v>
      </c>
      <c r="K229" s="41">
        <f t="shared" si="3"/>
        <v>24066.09</v>
      </c>
      <c r="L229" s="41">
        <f t="shared" si="3"/>
        <v>5325081.8599999994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1340594.22</v>
      </c>
      <c r="G233" s="18">
        <v>557717.23</v>
      </c>
      <c r="H233" s="18">
        <v>81175.820000000007</v>
      </c>
      <c r="I233" s="18">
        <v>66886.19</v>
      </c>
      <c r="J233" s="18">
        <v>19494.46</v>
      </c>
      <c r="K233" s="18">
        <v>2488.9499999999998</v>
      </c>
      <c r="L233" s="19">
        <f>SUM(F233:K233)</f>
        <v>2068356.8699999999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464316.51</v>
      </c>
      <c r="G234" s="18">
        <v>192815.88</v>
      </c>
      <c r="H234" s="18">
        <v>960453.02</v>
      </c>
      <c r="I234" s="18">
        <v>9868.9599999999991</v>
      </c>
      <c r="J234" s="18">
        <v>108.6</v>
      </c>
      <c r="K234" s="18">
        <v>5578</v>
      </c>
      <c r="L234" s="19">
        <f>SUM(F234:K234)</f>
        <v>1633140.9700000002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189714.98</v>
      </c>
      <c r="G235" s="18">
        <v>96625.55</v>
      </c>
      <c r="H235" s="18">
        <v>133213.76000000001</v>
      </c>
      <c r="I235" s="18">
        <v>15050.66</v>
      </c>
      <c r="J235" s="18"/>
      <c r="K235" s="18">
        <v>527</v>
      </c>
      <c r="L235" s="19">
        <f>SUM(F235:K235)</f>
        <v>435131.95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158560.42000000001</v>
      </c>
      <c r="G236" s="18">
        <v>35855.050000000003</v>
      </c>
      <c r="H236" s="18">
        <v>47877.05</v>
      </c>
      <c r="I236" s="18">
        <v>14831.6</v>
      </c>
      <c r="J236" s="18">
        <v>4830.38</v>
      </c>
      <c r="K236" s="18">
        <v>12656</v>
      </c>
      <c r="L236" s="19">
        <f>SUM(F236:K236)</f>
        <v>274610.5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243552.86</v>
      </c>
      <c r="G238" s="18">
        <v>139421.19</v>
      </c>
      <c r="H238" s="18">
        <v>66208.740000000005</v>
      </c>
      <c r="I238" s="18">
        <v>7540.55</v>
      </c>
      <c r="J238" s="18">
        <v>4357.6400000000003</v>
      </c>
      <c r="K238" s="18">
        <v>35</v>
      </c>
      <c r="L238" s="19">
        <f t="shared" ref="L238:L244" si="4">SUM(F238:K238)</f>
        <v>461115.98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102432.29</v>
      </c>
      <c r="G239" s="18">
        <v>64886.18</v>
      </c>
      <c r="H239" s="18">
        <v>15766.6</v>
      </c>
      <c r="I239" s="18">
        <v>19859.61</v>
      </c>
      <c r="J239" s="18">
        <v>1193.8900000000001</v>
      </c>
      <c r="K239" s="18">
        <v>480.21</v>
      </c>
      <c r="L239" s="19">
        <f t="shared" si="4"/>
        <v>204618.78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219048.92</v>
      </c>
      <c r="G240" s="18">
        <v>93593.97</v>
      </c>
      <c r="H240" s="18">
        <v>98361.06</v>
      </c>
      <c r="I240" s="18">
        <v>12104.23</v>
      </c>
      <c r="J240" s="18">
        <v>117469.06</v>
      </c>
      <c r="K240" s="18">
        <v>2746.93</v>
      </c>
      <c r="L240" s="19">
        <f t="shared" si="4"/>
        <v>543324.17000000004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151132.9</v>
      </c>
      <c r="G241" s="18">
        <v>60728.24</v>
      </c>
      <c r="H241" s="18">
        <v>128826.25</v>
      </c>
      <c r="I241" s="18">
        <v>4853.3500000000004</v>
      </c>
      <c r="J241" s="18">
        <v>5249.32</v>
      </c>
      <c r="K241" s="18"/>
      <c r="L241" s="19">
        <f t="shared" si="4"/>
        <v>350790.06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69123.55</v>
      </c>
      <c r="G242" s="18">
        <v>29990.9</v>
      </c>
      <c r="H242" s="18"/>
      <c r="I242" s="18"/>
      <c r="J242" s="18"/>
      <c r="K242" s="18"/>
      <c r="L242" s="19">
        <f t="shared" si="4"/>
        <v>99114.450000000012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194379.51999999999</v>
      </c>
      <c r="G243" s="18">
        <v>93418.78</v>
      </c>
      <c r="H243" s="18">
        <v>237279.81</v>
      </c>
      <c r="I243" s="18">
        <v>182655.5</v>
      </c>
      <c r="J243" s="18">
        <v>91938.92</v>
      </c>
      <c r="K243" s="18">
        <v>429.4</v>
      </c>
      <c r="L243" s="19">
        <f t="shared" si="4"/>
        <v>800101.93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310778.56</v>
      </c>
      <c r="I244" s="18">
        <v>83675.820000000007</v>
      </c>
      <c r="J244" s="18"/>
      <c r="K244" s="18"/>
      <c r="L244" s="19">
        <f t="shared" si="4"/>
        <v>394454.38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3132856.1699999995</v>
      </c>
      <c r="G247" s="41">
        <f t="shared" si="5"/>
        <v>1365052.97</v>
      </c>
      <c r="H247" s="41">
        <f t="shared" si="5"/>
        <v>2079940.6700000004</v>
      </c>
      <c r="I247" s="41">
        <f t="shared" si="5"/>
        <v>417326.47000000003</v>
      </c>
      <c r="J247" s="41">
        <f t="shared" si="5"/>
        <v>244642.27000000002</v>
      </c>
      <c r="K247" s="41">
        <f t="shared" si="5"/>
        <v>24941.49</v>
      </c>
      <c r="L247" s="41">
        <f t="shared" si="5"/>
        <v>7264760.0399999991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10371646.710000001</v>
      </c>
      <c r="G257" s="41">
        <f t="shared" si="8"/>
        <v>4494119.53</v>
      </c>
      <c r="H257" s="41">
        <f t="shared" si="8"/>
        <v>4310571.9400000004</v>
      </c>
      <c r="I257" s="41">
        <f t="shared" si="8"/>
        <v>1184700.4099999999</v>
      </c>
      <c r="J257" s="41">
        <f t="shared" si="8"/>
        <v>501194.23</v>
      </c>
      <c r="K257" s="41">
        <f t="shared" si="8"/>
        <v>65993.11</v>
      </c>
      <c r="L257" s="41">
        <f t="shared" si="8"/>
        <v>20928225.93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1581711.04</v>
      </c>
      <c r="L260" s="19">
        <f>SUM(F260:K260)</f>
        <v>1581711.04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285302.45</v>
      </c>
      <c r="L261" s="19">
        <f>SUM(F261:K261)</f>
        <v>285302.45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9000</v>
      </c>
      <c r="L263" s="19">
        <f>SUM(F263:K263)</f>
        <v>9000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475000</v>
      </c>
      <c r="L266" s="19">
        <f t="shared" si="9"/>
        <v>475000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19006.2</v>
      </c>
      <c r="L269" s="19">
        <f t="shared" si="9"/>
        <v>19006.2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2370019.6900000004</v>
      </c>
      <c r="L270" s="41">
        <f t="shared" si="9"/>
        <v>2370019.6900000004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10371646.710000001</v>
      </c>
      <c r="G271" s="42">
        <f t="shared" si="11"/>
        <v>4494119.53</v>
      </c>
      <c r="H271" s="42">
        <f t="shared" si="11"/>
        <v>4310571.9400000004</v>
      </c>
      <c r="I271" s="42">
        <f t="shared" si="11"/>
        <v>1184700.4099999999</v>
      </c>
      <c r="J271" s="42">
        <f t="shared" si="11"/>
        <v>501194.23</v>
      </c>
      <c r="K271" s="42">
        <f t="shared" si="11"/>
        <v>2436012.8000000003</v>
      </c>
      <c r="L271" s="42">
        <f t="shared" si="11"/>
        <v>23298245.620000001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152236.16</v>
      </c>
      <c r="G276" s="18">
        <v>71328.2</v>
      </c>
      <c r="H276" s="18">
        <v>11101.15</v>
      </c>
      <c r="I276" s="18">
        <v>388.04</v>
      </c>
      <c r="J276" s="18">
        <v>24237.86</v>
      </c>
      <c r="K276" s="18"/>
      <c r="L276" s="19">
        <f>SUM(F276:K276)</f>
        <v>259291.40999999997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118675.23</v>
      </c>
      <c r="G277" s="18">
        <v>326.14999999999998</v>
      </c>
      <c r="H277" s="18">
        <v>41121.879999999997</v>
      </c>
      <c r="I277" s="18">
        <v>4465.45</v>
      </c>
      <c r="J277" s="18">
        <v>5664.25</v>
      </c>
      <c r="K277" s="18"/>
      <c r="L277" s="19">
        <f>SUM(F277:K277)</f>
        <v>170252.96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6630.72</v>
      </c>
      <c r="G279" s="18">
        <v>1070.3900000000001</v>
      </c>
      <c r="H279" s="18"/>
      <c r="I279" s="18"/>
      <c r="J279" s="18"/>
      <c r="K279" s="18"/>
      <c r="L279" s="19">
        <f>SUM(F279:K279)</f>
        <v>7701.1100000000006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42285.63</v>
      </c>
      <c r="G281" s="18"/>
      <c r="H281" s="18"/>
      <c r="I281" s="18"/>
      <c r="J281" s="18"/>
      <c r="K281" s="18"/>
      <c r="L281" s="19">
        <f t="shared" ref="L281:L287" si="12">SUM(F281:K281)</f>
        <v>42285.63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20415.3</v>
      </c>
      <c r="G282" s="18">
        <v>3833.69</v>
      </c>
      <c r="H282" s="18">
        <v>16934.29</v>
      </c>
      <c r="I282" s="18">
        <v>3169.42</v>
      </c>
      <c r="J282" s="18">
        <v>3073.94</v>
      </c>
      <c r="K282" s="18"/>
      <c r="L282" s="19">
        <f t="shared" si="12"/>
        <v>47426.64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3000</v>
      </c>
      <c r="G283" s="18">
        <v>643.87</v>
      </c>
      <c r="H283" s="18"/>
      <c r="I283" s="18">
        <v>100</v>
      </c>
      <c r="J283" s="18"/>
      <c r="K283" s="18"/>
      <c r="L283" s="19">
        <f t="shared" si="12"/>
        <v>3743.87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>
        <v>728.52</v>
      </c>
      <c r="L284" s="19">
        <f t="shared" si="12"/>
        <v>728.52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2010.89</v>
      </c>
      <c r="I286" s="18">
        <v>30.63</v>
      </c>
      <c r="J286" s="18"/>
      <c r="K286" s="18"/>
      <c r="L286" s="19">
        <f t="shared" si="12"/>
        <v>2041.5200000000002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343243.04</v>
      </c>
      <c r="G290" s="42">
        <f t="shared" si="13"/>
        <v>77202.299999999988</v>
      </c>
      <c r="H290" s="42">
        <f t="shared" si="13"/>
        <v>71168.210000000006</v>
      </c>
      <c r="I290" s="42">
        <f t="shared" si="13"/>
        <v>8153.54</v>
      </c>
      <c r="J290" s="42">
        <f t="shared" si="13"/>
        <v>32976.050000000003</v>
      </c>
      <c r="K290" s="42">
        <f t="shared" si="13"/>
        <v>728.52</v>
      </c>
      <c r="L290" s="41">
        <f t="shared" si="13"/>
        <v>533471.66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63213.120000000003</v>
      </c>
      <c r="G295" s="18">
        <v>20320.91</v>
      </c>
      <c r="H295" s="18">
        <v>6083.85</v>
      </c>
      <c r="I295" s="18">
        <v>6594.39</v>
      </c>
      <c r="J295" s="18">
        <v>6608.92</v>
      </c>
      <c r="K295" s="18"/>
      <c r="L295" s="19">
        <f>SUM(F295:K295)</f>
        <v>102821.19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2336.54</v>
      </c>
      <c r="G296" s="18">
        <v>178.75</v>
      </c>
      <c r="H296" s="18">
        <v>22536.33</v>
      </c>
      <c r="I296" s="18">
        <v>920.1</v>
      </c>
      <c r="J296" s="18">
        <v>3104.22</v>
      </c>
      <c r="K296" s="18"/>
      <c r="L296" s="19">
        <f>SUM(F296:K296)</f>
        <v>29075.940000000002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3216.05</v>
      </c>
      <c r="G298" s="18">
        <v>486.77</v>
      </c>
      <c r="H298" s="18"/>
      <c r="I298" s="18"/>
      <c r="J298" s="18"/>
      <c r="K298" s="18"/>
      <c r="L298" s="19">
        <f>SUM(F298:K298)</f>
        <v>3702.82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23174.1</v>
      </c>
      <c r="G300" s="18"/>
      <c r="H300" s="18"/>
      <c r="I300" s="18"/>
      <c r="J300" s="18"/>
      <c r="K300" s="18"/>
      <c r="L300" s="19">
        <f t="shared" ref="L300:L306" si="14">SUM(F300:K300)</f>
        <v>23174.1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12681.2</v>
      </c>
      <c r="G301" s="18">
        <v>2366.2800000000002</v>
      </c>
      <c r="H301" s="18">
        <v>10948.24</v>
      </c>
      <c r="I301" s="18">
        <v>2070.1</v>
      </c>
      <c r="J301" s="18">
        <v>3073.94</v>
      </c>
      <c r="K301" s="18"/>
      <c r="L301" s="19">
        <f t="shared" si="14"/>
        <v>31139.759999999998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v>1102.04</v>
      </c>
      <c r="I305" s="18">
        <v>16.79</v>
      </c>
      <c r="J305" s="18"/>
      <c r="K305" s="18"/>
      <c r="L305" s="19">
        <f t="shared" si="14"/>
        <v>1118.83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104621.01</v>
      </c>
      <c r="G309" s="42">
        <f t="shared" si="15"/>
        <v>23352.71</v>
      </c>
      <c r="H309" s="42">
        <f t="shared" si="15"/>
        <v>40670.46</v>
      </c>
      <c r="I309" s="42">
        <f t="shared" si="15"/>
        <v>9601.380000000001</v>
      </c>
      <c r="J309" s="42">
        <f t="shared" si="15"/>
        <v>12787.08</v>
      </c>
      <c r="K309" s="42">
        <f t="shared" si="15"/>
        <v>0</v>
      </c>
      <c r="L309" s="41">
        <f t="shared" si="15"/>
        <v>191032.64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86.32</v>
      </c>
      <c r="J314" s="18">
        <v>8773.52</v>
      </c>
      <c r="K314" s="18"/>
      <c r="L314" s="19">
        <f>SUM(F314:K314)</f>
        <v>8859.84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52105</v>
      </c>
      <c r="G315" s="18">
        <v>0</v>
      </c>
      <c r="H315" s="18">
        <v>29917.599999999999</v>
      </c>
      <c r="I315" s="18">
        <v>0</v>
      </c>
      <c r="J315" s="18">
        <v>4120.9399999999996</v>
      </c>
      <c r="K315" s="18"/>
      <c r="L315" s="19">
        <f>SUM(F315:K315)</f>
        <v>86143.540000000008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3930</v>
      </c>
      <c r="G316" s="18"/>
      <c r="H316" s="18">
        <v>7713.65</v>
      </c>
      <c r="I316" s="18">
        <v>2229.13</v>
      </c>
      <c r="J316" s="18">
        <v>16493.86</v>
      </c>
      <c r="K316" s="18"/>
      <c r="L316" s="19">
        <f>SUM(F316:K316)</f>
        <v>30366.639999999999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30764.27</v>
      </c>
      <c r="G319" s="18"/>
      <c r="H319" s="18"/>
      <c r="I319" s="18"/>
      <c r="J319" s="18"/>
      <c r="K319" s="18"/>
      <c r="L319" s="19">
        <f t="shared" ref="L319:L325" si="16">SUM(F319:K319)</f>
        <v>30764.27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12452.9</v>
      </c>
      <c r="G320" s="18">
        <v>2586.04</v>
      </c>
      <c r="H320" s="18">
        <v>7938.4</v>
      </c>
      <c r="I320" s="18">
        <v>1570.3</v>
      </c>
      <c r="J320" s="18"/>
      <c r="K320" s="18"/>
      <c r="L320" s="19">
        <f t="shared" si="16"/>
        <v>24547.639999999996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1462.99</v>
      </c>
      <c r="I324" s="18">
        <v>22.28</v>
      </c>
      <c r="J324" s="18"/>
      <c r="K324" s="18"/>
      <c r="L324" s="19">
        <f t="shared" si="16"/>
        <v>1485.27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99252.17</v>
      </c>
      <c r="G328" s="42">
        <f t="shared" si="17"/>
        <v>2586.04</v>
      </c>
      <c r="H328" s="42">
        <f t="shared" si="17"/>
        <v>47032.639999999999</v>
      </c>
      <c r="I328" s="42">
        <f t="shared" si="17"/>
        <v>3908.03</v>
      </c>
      <c r="J328" s="42">
        <f t="shared" si="17"/>
        <v>29388.32</v>
      </c>
      <c r="K328" s="42">
        <f t="shared" si="17"/>
        <v>0</v>
      </c>
      <c r="L328" s="41">
        <f t="shared" si="17"/>
        <v>182167.19999999998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547116.22</v>
      </c>
      <c r="G338" s="41">
        <f t="shared" si="20"/>
        <v>103141.04999999997</v>
      </c>
      <c r="H338" s="41">
        <f t="shared" si="20"/>
        <v>158871.31</v>
      </c>
      <c r="I338" s="41">
        <f t="shared" si="20"/>
        <v>21662.95</v>
      </c>
      <c r="J338" s="41">
        <f t="shared" si="20"/>
        <v>75151.450000000012</v>
      </c>
      <c r="K338" s="41">
        <f t="shared" si="20"/>
        <v>728.52</v>
      </c>
      <c r="L338" s="41">
        <f t="shared" si="20"/>
        <v>906671.5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3327.9</v>
      </c>
      <c r="L344" s="19">
        <f t="shared" ref="L344:L350" si="21">SUM(F344:K344)</f>
        <v>3327.9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3327.9</v>
      </c>
      <c r="L351" s="41">
        <f>SUM(L341:L350)</f>
        <v>3327.9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547116.22</v>
      </c>
      <c r="G352" s="41">
        <f>G338</f>
        <v>103141.04999999997</v>
      </c>
      <c r="H352" s="41">
        <f>H338</f>
        <v>158871.31</v>
      </c>
      <c r="I352" s="41">
        <f>I338</f>
        <v>21662.95</v>
      </c>
      <c r="J352" s="41">
        <f>J338</f>
        <v>75151.450000000012</v>
      </c>
      <c r="K352" s="47">
        <f>K338+K351</f>
        <v>4056.42</v>
      </c>
      <c r="L352" s="41">
        <f>L338+L351</f>
        <v>909999.4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107886.47</v>
      </c>
      <c r="G358" s="18">
        <v>15376.28</v>
      </c>
      <c r="H358" s="18">
        <v>5640.74</v>
      </c>
      <c r="I358" s="18">
        <v>170757.11</v>
      </c>
      <c r="J358" s="18">
        <v>8170.35</v>
      </c>
      <c r="K358" s="18">
        <v>305.27999999999997</v>
      </c>
      <c r="L358" s="13">
        <f>SUM(F358:K358)</f>
        <v>308136.23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46500.07</v>
      </c>
      <c r="G359" s="18">
        <v>7516.05</v>
      </c>
      <c r="H359" s="18">
        <v>3090.79</v>
      </c>
      <c r="I359" s="18">
        <v>76781.070000000007</v>
      </c>
      <c r="J359" s="18">
        <v>4476.87</v>
      </c>
      <c r="K359" s="18">
        <v>167.28</v>
      </c>
      <c r="L359" s="19">
        <f>SUM(F359:K359)</f>
        <v>138532.13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85057.34</v>
      </c>
      <c r="G360" s="18">
        <v>11613.45</v>
      </c>
      <c r="H360" s="18">
        <v>4103.5600000000004</v>
      </c>
      <c r="I360" s="18">
        <v>101940.23</v>
      </c>
      <c r="J360" s="18">
        <v>5943.82</v>
      </c>
      <c r="K360" s="18">
        <v>222.09</v>
      </c>
      <c r="L360" s="19">
        <f>SUM(F360:K360)</f>
        <v>208880.49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239443.88</v>
      </c>
      <c r="G362" s="47">
        <f t="shared" si="22"/>
        <v>34505.78</v>
      </c>
      <c r="H362" s="47">
        <f t="shared" si="22"/>
        <v>12835.09</v>
      </c>
      <c r="I362" s="47">
        <f t="shared" si="22"/>
        <v>349478.41</v>
      </c>
      <c r="J362" s="47">
        <f t="shared" si="22"/>
        <v>18591.04</v>
      </c>
      <c r="K362" s="47">
        <f t="shared" si="22"/>
        <v>694.65</v>
      </c>
      <c r="L362" s="47">
        <f t="shared" si="22"/>
        <v>655548.85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161695.25</v>
      </c>
      <c r="G367" s="18">
        <v>72139.539999999994</v>
      </c>
      <c r="H367" s="18">
        <v>95777.79</v>
      </c>
      <c r="I367" s="56">
        <f>SUM(F367:H367)</f>
        <v>329612.57999999996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9061.86</v>
      </c>
      <c r="G368" s="63">
        <v>4641.53</v>
      </c>
      <c r="H368" s="63">
        <v>6162.44</v>
      </c>
      <c r="I368" s="56">
        <f>SUM(F368:H368)</f>
        <v>19865.829999999998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170757.11</v>
      </c>
      <c r="G369" s="47">
        <f>SUM(G367:G368)</f>
        <v>76781.069999999992</v>
      </c>
      <c r="H369" s="47">
        <f>SUM(H367:H368)</f>
        <v>101940.23</v>
      </c>
      <c r="I369" s="47">
        <f>SUM(I367:I368)</f>
        <v>349478.41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43341.09</v>
      </c>
      <c r="L381" s="13">
        <f t="shared" si="23"/>
        <v>43341.09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43341.09</v>
      </c>
      <c r="L382" s="47">
        <f t="shared" si="24"/>
        <v>43341.09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450000</v>
      </c>
      <c r="H389" s="18">
        <v>1623.74</v>
      </c>
      <c r="I389" s="18"/>
      <c r="J389" s="24" t="s">
        <v>289</v>
      </c>
      <c r="K389" s="24" t="s">
        <v>289</v>
      </c>
      <c r="L389" s="56">
        <f t="shared" si="25"/>
        <v>451623.74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5.22</v>
      </c>
      <c r="I392" s="18"/>
      <c r="J392" s="24" t="s">
        <v>289</v>
      </c>
      <c r="K392" s="24" t="s">
        <v>289</v>
      </c>
      <c r="L392" s="56">
        <f t="shared" si="25"/>
        <v>5.22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450000</v>
      </c>
      <c r="H393" s="139">
        <f>SUM(H387:H392)</f>
        <v>1628.96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451628.95999999996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127.72</v>
      </c>
      <c r="I396" s="18"/>
      <c r="J396" s="24" t="s">
        <v>289</v>
      </c>
      <c r="K396" s="24" t="s">
        <v>289</v>
      </c>
      <c r="L396" s="56">
        <f t="shared" si="26"/>
        <v>127.72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v>184.51</v>
      </c>
      <c r="I397" s="18"/>
      <c r="J397" s="24" t="s">
        <v>289</v>
      </c>
      <c r="K397" s="24" t="s">
        <v>289</v>
      </c>
      <c r="L397" s="56">
        <f t="shared" si="26"/>
        <v>25184.51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312.23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25312.23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475000</v>
      </c>
      <c r="H408" s="47">
        <f>H393+H401+H407</f>
        <v>1941.19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476941.18999999994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v>396541.22</v>
      </c>
      <c r="I415" s="18"/>
      <c r="J415" s="18"/>
      <c r="K415" s="18"/>
      <c r="L415" s="56">
        <f t="shared" si="27"/>
        <v>396541.22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19006.2</v>
      </c>
      <c r="L418" s="56">
        <f t="shared" si="27"/>
        <v>19006.2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396541.22</v>
      </c>
      <c r="I419" s="139">
        <f t="shared" si="28"/>
        <v>0</v>
      </c>
      <c r="J419" s="139">
        <f t="shared" si="28"/>
        <v>0</v>
      </c>
      <c r="K419" s="139">
        <f t="shared" si="28"/>
        <v>19006.2</v>
      </c>
      <c r="L419" s="47">
        <f t="shared" si="28"/>
        <v>415547.42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396541.22</v>
      </c>
      <c r="I434" s="47">
        <f t="shared" si="32"/>
        <v>0</v>
      </c>
      <c r="J434" s="47">
        <f t="shared" si="32"/>
        <v>0</v>
      </c>
      <c r="K434" s="47">
        <f t="shared" si="32"/>
        <v>19006.2</v>
      </c>
      <c r="L434" s="47">
        <f t="shared" si="32"/>
        <v>415547.42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1122425.76</v>
      </c>
      <c r="H439" s="18"/>
      <c r="I439" s="56">
        <f t="shared" ref="I439:I445" si="33">SUM(F439:H439)</f>
        <v>1122425.76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1122425.76</v>
      </c>
      <c r="H446" s="13">
        <f>SUM(H439:H445)</f>
        <v>0</v>
      </c>
      <c r="I446" s="13">
        <f>SUM(I439:I445)</f>
        <v>1122425.76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1122425.76</v>
      </c>
      <c r="H459" s="18"/>
      <c r="I459" s="56">
        <f t="shared" si="34"/>
        <v>1122425.76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1122425.76</v>
      </c>
      <c r="H460" s="83">
        <f>SUM(H454:H459)</f>
        <v>0</v>
      </c>
      <c r="I460" s="83">
        <f>SUM(I454:I459)</f>
        <v>1122425.76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1122425.76</v>
      </c>
      <c r="H461" s="42">
        <f>H452+H460</f>
        <v>0</v>
      </c>
      <c r="I461" s="42">
        <f>I452+I460</f>
        <v>1122425.76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1178187.1299999999</v>
      </c>
      <c r="G465" s="18">
        <v>157525.07999999999</v>
      </c>
      <c r="H465" s="18">
        <v>2190.9</v>
      </c>
      <c r="I465" s="18">
        <v>39554.089999999997</v>
      </c>
      <c r="J465" s="18">
        <v>1061031.99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22935980.780000001</v>
      </c>
      <c r="G468" s="18">
        <v>659390.79</v>
      </c>
      <c r="H468" s="18">
        <v>927102.16</v>
      </c>
      <c r="I468" s="18">
        <v>3787</v>
      </c>
      <c r="J468" s="18">
        <v>476941.19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22935980.780000001</v>
      </c>
      <c r="G470" s="53">
        <f>SUM(G468:G469)</f>
        <v>659390.79</v>
      </c>
      <c r="H470" s="53">
        <f>SUM(H468:H469)</f>
        <v>927102.16</v>
      </c>
      <c r="I470" s="53">
        <f>SUM(I468:I469)</f>
        <v>3787</v>
      </c>
      <c r="J470" s="53">
        <f>SUM(J468:J469)</f>
        <v>476941.19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23298245.620000001</v>
      </c>
      <c r="G472" s="18">
        <v>655548.85</v>
      </c>
      <c r="H472" s="18">
        <v>909999.4</v>
      </c>
      <c r="I472" s="18">
        <v>43341.09</v>
      </c>
      <c r="J472" s="18">
        <v>415547.42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23298245.620000001</v>
      </c>
      <c r="G474" s="53">
        <f>SUM(G472:G473)</f>
        <v>655548.85</v>
      </c>
      <c r="H474" s="53">
        <f>SUM(H472:H473)</f>
        <v>909999.4</v>
      </c>
      <c r="I474" s="53">
        <f>SUM(I472:I473)</f>
        <v>43341.09</v>
      </c>
      <c r="J474" s="53">
        <f>SUM(J472:J473)</f>
        <v>415547.42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815922.28999999911</v>
      </c>
      <c r="G476" s="53">
        <f>(G465+G470)- G474</f>
        <v>161367.02000000002</v>
      </c>
      <c r="H476" s="53">
        <f>(H465+H470)- H474</f>
        <v>19293.660000000033</v>
      </c>
      <c r="I476" s="53">
        <f>(I465+I470)- I474</f>
        <v>0</v>
      </c>
      <c r="J476" s="53">
        <f>(J465+J470)- J474</f>
        <v>1122425.76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13</v>
      </c>
      <c r="G490" s="154">
        <v>10</v>
      </c>
      <c r="H490" s="154">
        <v>15</v>
      </c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913</v>
      </c>
      <c r="H491" s="155" t="s">
        <v>915</v>
      </c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914</v>
      </c>
      <c r="H492" s="155" t="s">
        <v>916</v>
      </c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7005000</v>
      </c>
      <c r="G493" s="18">
        <v>8625000</v>
      </c>
      <c r="H493" s="18">
        <v>3396240</v>
      </c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3.2</v>
      </c>
      <c r="G494" s="18">
        <v>3.19</v>
      </c>
      <c r="H494" s="18">
        <v>1.4</v>
      </c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885000</v>
      </c>
      <c r="G495" s="18">
        <v>7605000</v>
      </c>
      <c r="H495" s="18">
        <v>2729619.25</v>
      </c>
      <c r="I495" s="18"/>
      <c r="J495" s="18"/>
      <c r="K495" s="53">
        <f>SUM(F495:J495)</f>
        <v>11219619.25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>
        <v>0</v>
      </c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450000</v>
      </c>
      <c r="G497" s="18">
        <v>910000</v>
      </c>
      <c r="H497" s="18">
        <v>221847.17</v>
      </c>
      <c r="I497" s="18"/>
      <c r="J497" s="18"/>
      <c r="K497" s="53">
        <f t="shared" si="35"/>
        <v>1581847.17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435000</v>
      </c>
      <c r="G498" s="204">
        <v>6695000</v>
      </c>
      <c r="H498" s="204">
        <v>2507772.08</v>
      </c>
      <c r="I498" s="204"/>
      <c r="J498" s="204"/>
      <c r="K498" s="205">
        <f t="shared" si="35"/>
        <v>9637772.0800000001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17400</v>
      </c>
      <c r="G499" s="18">
        <v>909862.58</v>
      </c>
      <c r="H499" s="18">
        <v>212268.09</v>
      </c>
      <c r="I499" s="18"/>
      <c r="J499" s="18"/>
      <c r="K499" s="53">
        <f t="shared" si="35"/>
        <v>1139530.67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452400</v>
      </c>
      <c r="G500" s="42">
        <f>SUM(G498:G499)</f>
        <v>7604862.5800000001</v>
      </c>
      <c r="H500" s="42">
        <f>SUM(H498:H499)</f>
        <v>2720040.17</v>
      </c>
      <c r="I500" s="42">
        <f>SUM(I498:I499)</f>
        <v>0</v>
      </c>
      <c r="J500" s="42">
        <f>SUM(J498:J499)</f>
        <v>0</v>
      </c>
      <c r="K500" s="42">
        <f t="shared" si="35"/>
        <v>10777302.75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435000</v>
      </c>
      <c r="G501" s="204">
        <v>890000</v>
      </c>
      <c r="H501" s="204">
        <v>222823.03</v>
      </c>
      <c r="I501" s="204"/>
      <c r="J501" s="204"/>
      <c r="K501" s="205">
        <f t="shared" si="35"/>
        <v>1547823.03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17400</v>
      </c>
      <c r="G502" s="18">
        <v>194275</v>
      </c>
      <c r="H502" s="18">
        <v>35108.81</v>
      </c>
      <c r="I502" s="18"/>
      <c r="J502" s="18"/>
      <c r="K502" s="53">
        <f t="shared" si="35"/>
        <v>246783.81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452400</v>
      </c>
      <c r="G503" s="42">
        <f>SUM(G501:G502)</f>
        <v>1084275</v>
      </c>
      <c r="H503" s="42">
        <f>SUM(H501:H502)</f>
        <v>257931.84</v>
      </c>
      <c r="I503" s="42">
        <f>SUM(I501:I502)</f>
        <v>0</v>
      </c>
      <c r="J503" s="42">
        <f>SUM(J501:J502)</f>
        <v>0</v>
      </c>
      <c r="K503" s="42">
        <f t="shared" si="35"/>
        <v>1794606.84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921072.81</v>
      </c>
      <c r="G521" s="18">
        <v>302113.2</v>
      </c>
      <c r="H521" s="18">
        <v>389579.48</v>
      </c>
      <c r="I521" s="18">
        <v>7163.43</v>
      </c>
      <c r="J521" s="18">
        <v>5813.53</v>
      </c>
      <c r="K521" s="18">
        <v>8584.1</v>
      </c>
      <c r="L521" s="88">
        <f>SUM(F521:K521)</f>
        <v>1634326.55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383623.62</v>
      </c>
      <c r="G522" s="18">
        <v>120672.25</v>
      </c>
      <c r="H522" s="18">
        <v>256555.62</v>
      </c>
      <c r="I522" s="18">
        <v>2419.2800000000002</v>
      </c>
      <c r="J522" s="18">
        <v>3186.03</v>
      </c>
      <c r="K522" s="18">
        <v>15440.69</v>
      </c>
      <c r="L522" s="88">
        <f>SUM(F522:K522)</f>
        <v>781897.49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516421.51</v>
      </c>
      <c r="G523" s="18">
        <v>188984.36</v>
      </c>
      <c r="H523" s="18">
        <v>990370.61</v>
      </c>
      <c r="I523" s="18">
        <v>9868.9500000000007</v>
      </c>
      <c r="J523" s="18">
        <v>4229.54</v>
      </c>
      <c r="K523" s="18">
        <v>5578</v>
      </c>
      <c r="L523" s="88">
        <f>SUM(F523:K523)</f>
        <v>1715452.97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1821117.9400000002</v>
      </c>
      <c r="G524" s="108">
        <f t="shared" ref="G524:L524" si="36">SUM(G521:G523)</f>
        <v>611769.81000000006</v>
      </c>
      <c r="H524" s="108">
        <f t="shared" si="36"/>
        <v>1636505.71</v>
      </c>
      <c r="I524" s="108">
        <f t="shared" si="36"/>
        <v>19451.660000000003</v>
      </c>
      <c r="J524" s="108">
        <f t="shared" si="36"/>
        <v>13229.099999999999</v>
      </c>
      <c r="K524" s="108">
        <f t="shared" si="36"/>
        <v>29602.79</v>
      </c>
      <c r="L524" s="89">
        <f t="shared" si="36"/>
        <v>4131677.01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134670.34</v>
      </c>
      <c r="G526" s="18">
        <v>46434.1</v>
      </c>
      <c r="H526" s="18">
        <v>24102.63</v>
      </c>
      <c r="I526" s="18">
        <v>4536.8500000000004</v>
      </c>
      <c r="J526" s="18">
        <v>1028.1500000000001</v>
      </c>
      <c r="K526" s="18"/>
      <c r="L526" s="88">
        <f>SUM(F526:K526)</f>
        <v>210772.07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73804.37</v>
      </c>
      <c r="G527" s="18">
        <v>25447.62</v>
      </c>
      <c r="H527" s="18">
        <v>13209.14</v>
      </c>
      <c r="I527" s="18">
        <v>2486.36</v>
      </c>
      <c r="J527" s="18">
        <v>563.46</v>
      </c>
      <c r="K527" s="18"/>
      <c r="L527" s="88">
        <f>SUM(F527:K527)</f>
        <v>115510.95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97977.36</v>
      </c>
      <c r="G528" s="18">
        <v>33782.43</v>
      </c>
      <c r="H528" s="18">
        <v>17535.5</v>
      </c>
      <c r="I528" s="18">
        <v>3300.71</v>
      </c>
      <c r="J528" s="18">
        <v>748.02</v>
      </c>
      <c r="K528" s="18"/>
      <c r="L528" s="88">
        <f>SUM(F528:K528)</f>
        <v>153344.01999999999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306452.07</v>
      </c>
      <c r="G529" s="89">
        <f t="shared" ref="G529:L529" si="37">SUM(G526:G528)</f>
        <v>105664.15</v>
      </c>
      <c r="H529" s="89">
        <f t="shared" si="37"/>
        <v>54847.270000000004</v>
      </c>
      <c r="I529" s="89">
        <f t="shared" si="37"/>
        <v>10323.920000000002</v>
      </c>
      <c r="J529" s="89">
        <f t="shared" si="37"/>
        <v>2339.63</v>
      </c>
      <c r="K529" s="89">
        <f t="shared" si="37"/>
        <v>0</v>
      </c>
      <c r="L529" s="89">
        <f t="shared" si="37"/>
        <v>479627.04000000004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75413.929999999993</v>
      </c>
      <c r="G531" s="18">
        <v>37391.03</v>
      </c>
      <c r="H531" s="18"/>
      <c r="I531" s="18"/>
      <c r="J531" s="18"/>
      <c r="K531" s="18"/>
      <c r="L531" s="88">
        <f>SUM(F531:K531)</f>
        <v>112804.95999999999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41329.65</v>
      </c>
      <c r="G532" s="18">
        <v>20491.68</v>
      </c>
      <c r="H532" s="18"/>
      <c r="I532" s="18"/>
      <c r="J532" s="18"/>
      <c r="K532" s="18"/>
      <c r="L532" s="88">
        <f>SUM(F532:K532)</f>
        <v>61821.33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54866.26</v>
      </c>
      <c r="G533" s="18">
        <v>27203.279999999999</v>
      </c>
      <c r="H533" s="18"/>
      <c r="I533" s="18"/>
      <c r="J533" s="18"/>
      <c r="K533" s="18"/>
      <c r="L533" s="88">
        <f>SUM(F533:K533)</f>
        <v>82069.540000000008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171609.84</v>
      </c>
      <c r="G534" s="89">
        <f t="shared" ref="G534:L534" si="38">SUM(G531:G533)</f>
        <v>85085.989999999991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256695.83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1821.92</v>
      </c>
      <c r="I536" s="18"/>
      <c r="J536" s="18"/>
      <c r="K536" s="18"/>
      <c r="L536" s="88">
        <f>SUM(F536:K536)</f>
        <v>1821.92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998.48</v>
      </c>
      <c r="I537" s="18"/>
      <c r="J537" s="18"/>
      <c r="K537" s="18"/>
      <c r="L537" s="88">
        <f>SUM(F537:K537)</f>
        <v>998.48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1325.51</v>
      </c>
      <c r="I538" s="18"/>
      <c r="J538" s="18"/>
      <c r="K538" s="18"/>
      <c r="L538" s="88">
        <f>SUM(F538:K538)</f>
        <v>1325.51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4145.91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4145.91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91602.35</v>
      </c>
      <c r="I541" s="18"/>
      <c r="J541" s="18"/>
      <c r="K541" s="18"/>
      <c r="L541" s="88">
        <f>SUM(F541:K541)</f>
        <v>91602.35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50201.51</v>
      </c>
      <c r="I542" s="18"/>
      <c r="J542" s="18"/>
      <c r="K542" s="18"/>
      <c r="L542" s="88">
        <f>SUM(F542:K542)</f>
        <v>50201.51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66643.89</v>
      </c>
      <c r="I543" s="18"/>
      <c r="J543" s="18"/>
      <c r="K543" s="18"/>
      <c r="L543" s="88">
        <f>SUM(F543:K543)</f>
        <v>66643.89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208447.75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208447.75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2299179.85</v>
      </c>
      <c r="G545" s="89">
        <f t="shared" ref="G545:L545" si="41">G524+G529+G534+G539+G544</f>
        <v>802519.95000000007</v>
      </c>
      <c r="H545" s="89">
        <f t="shared" si="41"/>
        <v>1903946.64</v>
      </c>
      <c r="I545" s="89">
        <f t="shared" si="41"/>
        <v>29775.580000000005</v>
      </c>
      <c r="J545" s="89">
        <f t="shared" si="41"/>
        <v>15568.73</v>
      </c>
      <c r="K545" s="89">
        <f t="shared" si="41"/>
        <v>29602.79</v>
      </c>
      <c r="L545" s="89">
        <f t="shared" si="41"/>
        <v>5080593.54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1634326.55</v>
      </c>
      <c r="G549" s="87">
        <f>L526</f>
        <v>210772.07</v>
      </c>
      <c r="H549" s="87">
        <f>L531</f>
        <v>112804.95999999999</v>
      </c>
      <c r="I549" s="87">
        <f>L536</f>
        <v>1821.92</v>
      </c>
      <c r="J549" s="87">
        <f>L541</f>
        <v>91602.35</v>
      </c>
      <c r="K549" s="87">
        <f>SUM(F549:J549)</f>
        <v>2051327.85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781897.49</v>
      </c>
      <c r="G550" s="87">
        <f>L527</f>
        <v>115510.95</v>
      </c>
      <c r="H550" s="87">
        <f>L532</f>
        <v>61821.33</v>
      </c>
      <c r="I550" s="87">
        <f>L537</f>
        <v>998.48</v>
      </c>
      <c r="J550" s="87">
        <f>L542</f>
        <v>50201.51</v>
      </c>
      <c r="K550" s="87">
        <f>SUM(F550:J550)</f>
        <v>1010429.7599999999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1715452.97</v>
      </c>
      <c r="G551" s="87">
        <f>L528</f>
        <v>153344.01999999999</v>
      </c>
      <c r="H551" s="87">
        <f>L533</f>
        <v>82069.540000000008</v>
      </c>
      <c r="I551" s="87">
        <f>L538</f>
        <v>1325.51</v>
      </c>
      <c r="J551" s="87">
        <f>L543</f>
        <v>66643.89</v>
      </c>
      <c r="K551" s="87">
        <f>SUM(F551:J551)</f>
        <v>2018835.93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4131677.01</v>
      </c>
      <c r="G552" s="89">
        <f t="shared" si="42"/>
        <v>479627.04000000004</v>
      </c>
      <c r="H552" s="89">
        <f t="shared" si="42"/>
        <v>256695.83</v>
      </c>
      <c r="I552" s="89">
        <f t="shared" si="42"/>
        <v>4145.91</v>
      </c>
      <c r="J552" s="89">
        <f t="shared" si="42"/>
        <v>208447.75</v>
      </c>
      <c r="K552" s="89">
        <f t="shared" si="42"/>
        <v>5080593.54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169429.07</v>
      </c>
      <c r="G557" s="18">
        <v>73647.78</v>
      </c>
      <c r="H557" s="18">
        <v>17124.080000000002</v>
      </c>
      <c r="I557" s="18">
        <v>5476.49</v>
      </c>
      <c r="J557" s="18">
        <v>6751.54</v>
      </c>
      <c r="K557" s="18">
        <v>1051.08</v>
      </c>
      <c r="L557" s="88">
        <f>SUM(F557:K557)</f>
        <v>273480.03999999998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70566.39</v>
      </c>
      <c r="G558" s="18">
        <v>21289.93</v>
      </c>
      <c r="H558" s="18">
        <v>11052.23</v>
      </c>
      <c r="I558" s="18">
        <v>8336.68</v>
      </c>
      <c r="J558" s="18">
        <v>3073.94</v>
      </c>
      <c r="K558" s="18">
        <v>576.03</v>
      </c>
      <c r="L558" s="88">
        <f>SUM(F558:K558)</f>
        <v>114895.20000000001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239995.46000000002</v>
      </c>
      <c r="G560" s="108">
        <f t="shared" si="43"/>
        <v>94937.709999999992</v>
      </c>
      <c r="H560" s="108">
        <f t="shared" si="43"/>
        <v>28176.31</v>
      </c>
      <c r="I560" s="108">
        <f t="shared" si="43"/>
        <v>13813.17</v>
      </c>
      <c r="J560" s="108">
        <f t="shared" si="43"/>
        <v>9825.48</v>
      </c>
      <c r="K560" s="108">
        <f t="shared" si="43"/>
        <v>1627.11</v>
      </c>
      <c r="L560" s="89">
        <f t="shared" si="43"/>
        <v>388375.24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21850.99</v>
      </c>
      <c r="G562" s="18">
        <v>8228.14</v>
      </c>
      <c r="H562" s="18"/>
      <c r="I562" s="18">
        <v>40.6</v>
      </c>
      <c r="J562" s="18"/>
      <c r="K562" s="18"/>
      <c r="L562" s="88">
        <f>SUM(F562:K562)</f>
        <v>30119.73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11975.16</v>
      </c>
      <c r="G563" s="18">
        <v>4509.33</v>
      </c>
      <c r="H563" s="18"/>
      <c r="I563" s="18">
        <v>22.257999999999999</v>
      </c>
      <c r="J563" s="18"/>
      <c r="K563" s="18"/>
      <c r="L563" s="88">
        <f>SUM(F563:K563)</f>
        <v>16506.748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15897.35</v>
      </c>
      <c r="G564" s="18">
        <v>5986.26</v>
      </c>
      <c r="H564" s="18"/>
      <c r="I564" s="18">
        <v>29.54</v>
      </c>
      <c r="J564" s="18"/>
      <c r="K564" s="18"/>
      <c r="L564" s="88">
        <f>SUM(F564:K564)</f>
        <v>21913.15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49723.5</v>
      </c>
      <c r="G565" s="89">
        <f t="shared" si="44"/>
        <v>18723.73</v>
      </c>
      <c r="H565" s="89">
        <f t="shared" si="44"/>
        <v>0</v>
      </c>
      <c r="I565" s="89">
        <f t="shared" si="44"/>
        <v>92.397999999999996</v>
      </c>
      <c r="J565" s="89">
        <f t="shared" si="44"/>
        <v>0</v>
      </c>
      <c r="K565" s="89">
        <f t="shared" si="44"/>
        <v>0</v>
      </c>
      <c r="L565" s="89">
        <f t="shared" si="44"/>
        <v>68539.627999999997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22638.59</v>
      </c>
      <c r="G567" s="18">
        <v>11123.77</v>
      </c>
      <c r="H567" s="18"/>
      <c r="I567" s="18"/>
      <c r="J567" s="18"/>
      <c r="K567" s="18"/>
      <c r="L567" s="88">
        <f>SUM(F567:K567)</f>
        <v>33762.36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12406.79</v>
      </c>
      <c r="G568" s="18">
        <v>6096.24</v>
      </c>
      <c r="H568" s="18"/>
      <c r="I568" s="18"/>
      <c r="J568" s="18"/>
      <c r="K568" s="18"/>
      <c r="L568" s="88">
        <f>SUM(F568:K568)</f>
        <v>18503.03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16470.36</v>
      </c>
      <c r="G569" s="18">
        <v>8092.93</v>
      </c>
      <c r="H569" s="18"/>
      <c r="I569" s="18"/>
      <c r="J569" s="18"/>
      <c r="K569" s="18"/>
      <c r="L569" s="88">
        <f>SUM(F569:K569)</f>
        <v>24563.29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51515.740000000005</v>
      </c>
      <c r="G570" s="193">
        <f t="shared" ref="G570:L570" si="45">SUM(G567:G569)</f>
        <v>25312.940000000002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76828.679999999993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341234.7</v>
      </c>
      <c r="G571" s="89">
        <f t="shared" ref="G571:L571" si="46">G560+G565+G570</f>
        <v>138974.38</v>
      </c>
      <c r="H571" s="89">
        <f t="shared" si="46"/>
        <v>28176.31</v>
      </c>
      <c r="I571" s="89">
        <f t="shared" si="46"/>
        <v>13905.567999999999</v>
      </c>
      <c r="J571" s="89">
        <f t="shared" si="46"/>
        <v>9825.48</v>
      </c>
      <c r="K571" s="89">
        <f t="shared" si="46"/>
        <v>1627.11</v>
      </c>
      <c r="L571" s="89">
        <f t="shared" si="46"/>
        <v>533743.54799999995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73773.14</v>
      </c>
      <c r="I575" s="87">
        <f>SUM(F575:H575)</f>
        <v>73773.14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12775</v>
      </c>
      <c r="I579" s="87">
        <f t="shared" si="47"/>
        <v>12775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7031</v>
      </c>
      <c r="G582" s="18">
        <v>23372</v>
      </c>
      <c r="H582" s="18">
        <v>465019.38</v>
      </c>
      <c r="I582" s="87">
        <f t="shared" si="47"/>
        <v>495422.38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234409.34</v>
      </c>
      <c r="I583" s="87">
        <f t="shared" si="47"/>
        <v>234409.34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132450.76</v>
      </c>
      <c r="I584" s="87">
        <f t="shared" si="47"/>
        <v>132450.76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345230.96</v>
      </c>
      <c r="I591" s="18">
        <v>189199.46</v>
      </c>
      <c r="J591" s="18">
        <v>251167.54</v>
      </c>
      <c r="K591" s="104">
        <f t="shared" ref="K591:K597" si="48">SUM(H591:J591)</f>
        <v>785597.96000000008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91602.35</v>
      </c>
      <c r="I592" s="18">
        <v>50201.51</v>
      </c>
      <c r="J592" s="18">
        <v>66643.89</v>
      </c>
      <c r="K592" s="104">
        <f t="shared" si="48"/>
        <v>208447.75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33737.4</v>
      </c>
      <c r="K593" s="104">
        <f t="shared" si="48"/>
        <v>33737.4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14624.03</v>
      </c>
      <c r="J594" s="18">
        <v>37122.01</v>
      </c>
      <c r="K594" s="104">
        <f t="shared" si="48"/>
        <v>51746.04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7794.26</v>
      </c>
      <c r="I595" s="18">
        <v>6406.76</v>
      </c>
      <c r="J595" s="18">
        <v>5783.54</v>
      </c>
      <c r="K595" s="104">
        <f t="shared" si="48"/>
        <v>19984.560000000001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444627.57000000007</v>
      </c>
      <c r="I598" s="108">
        <f>SUM(I591:I597)</f>
        <v>260431.76</v>
      </c>
      <c r="J598" s="108">
        <f>SUM(J591:J597)</f>
        <v>394454.38</v>
      </c>
      <c r="K598" s="108">
        <f>SUM(K591:K597)</f>
        <v>1099513.7100000002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154669.48000000001</v>
      </c>
      <c r="I604" s="18">
        <v>147645.60999999999</v>
      </c>
      <c r="J604" s="18">
        <v>274030.59000000003</v>
      </c>
      <c r="K604" s="104">
        <f>SUM(H604:J604)</f>
        <v>576345.67999999993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154669.48000000001</v>
      </c>
      <c r="I605" s="108">
        <f>SUM(I602:I604)</f>
        <v>147645.60999999999</v>
      </c>
      <c r="J605" s="108">
        <f>SUM(J602:J604)</f>
        <v>274030.59000000003</v>
      </c>
      <c r="K605" s="108">
        <f>SUM(K602:K604)</f>
        <v>576345.67999999993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49604.69</v>
      </c>
      <c r="G611" s="18">
        <v>3689.38</v>
      </c>
      <c r="H611" s="18"/>
      <c r="I611" s="18"/>
      <c r="J611" s="18"/>
      <c r="K611" s="18"/>
      <c r="L611" s="88">
        <f>SUM(F611:K611)</f>
        <v>53294.07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15446.54</v>
      </c>
      <c r="G612" s="18">
        <v>2591.2600000000002</v>
      </c>
      <c r="H612" s="18"/>
      <c r="I612" s="18"/>
      <c r="J612" s="18"/>
      <c r="K612" s="18"/>
      <c r="L612" s="88">
        <f>SUM(F612:K612)</f>
        <v>18037.800000000003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28659.37</v>
      </c>
      <c r="G613" s="18">
        <v>5427.18</v>
      </c>
      <c r="H613" s="18"/>
      <c r="I613" s="18"/>
      <c r="J613" s="18"/>
      <c r="K613" s="18"/>
      <c r="L613" s="88">
        <f>SUM(F613:K613)</f>
        <v>34086.550000000003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93710.6</v>
      </c>
      <c r="G614" s="108">
        <f t="shared" si="49"/>
        <v>11707.82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105418.42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1942746.1400000001</v>
      </c>
      <c r="H617" s="109">
        <f>SUM(F52)</f>
        <v>1942746.1399999997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175679.55999999997</v>
      </c>
      <c r="H618" s="109">
        <f>SUM(G52)</f>
        <v>175679.56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248973.22</v>
      </c>
      <c r="H619" s="109">
        <f>SUM(H52)</f>
        <v>248973.22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1122425.76</v>
      </c>
      <c r="H621" s="109">
        <f>SUM(J52)</f>
        <v>1122425.76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815922.28999999992</v>
      </c>
      <c r="H622" s="109">
        <f>F476</f>
        <v>815922.28999999911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161367.01999999999</v>
      </c>
      <c r="H623" s="109">
        <f>G476</f>
        <v>161367.02000000002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19293.66</v>
      </c>
      <c r="H624" s="109">
        <f>H476</f>
        <v>19293.660000000033</v>
      </c>
      <c r="I624" s="121" t="s">
        <v>103</v>
      </c>
      <c r="J624" s="109">
        <f t="shared" si="50"/>
        <v>-3.2741809263825417E-11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1122425.76</v>
      </c>
      <c r="H626" s="109">
        <f>J476</f>
        <v>1122425.76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22935980.780000001</v>
      </c>
      <c r="H627" s="104">
        <f>SUM(F468)</f>
        <v>22935980.780000001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659390.79</v>
      </c>
      <c r="H628" s="104">
        <f>SUM(G468)</f>
        <v>659390.79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927102.16</v>
      </c>
      <c r="H629" s="104">
        <f>SUM(H468)</f>
        <v>927102.16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3787</v>
      </c>
      <c r="H630" s="104">
        <f>SUM(I468)</f>
        <v>3787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476941.19</v>
      </c>
      <c r="H631" s="104">
        <f>SUM(J468)</f>
        <v>476941.19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23298245.620000001</v>
      </c>
      <c r="H632" s="104">
        <f>SUM(F472)</f>
        <v>23298245.620000001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909999.4</v>
      </c>
      <c r="H633" s="104">
        <f>SUM(H472)</f>
        <v>909999.4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349478.41</v>
      </c>
      <c r="H634" s="104">
        <f>I369</f>
        <v>349478.41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655548.85</v>
      </c>
      <c r="H635" s="104">
        <f>SUM(G472)</f>
        <v>655548.85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43341.09</v>
      </c>
      <c r="H636" s="104">
        <f>SUM(I472)</f>
        <v>43341.09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476941.18999999994</v>
      </c>
      <c r="H637" s="164">
        <f>SUM(J468)</f>
        <v>476941.19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415547.42</v>
      </c>
      <c r="H638" s="164">
        <f>SUM(J472)</f>
        <v>415547.42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1122425.76</v>
      </c>
      <c r="H640" s="104">
        <f>SUM(G461)</f>
        <v>1122425.76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1122425.76</v>
      </c>
      <c r="H642" s="104">
        <f>SUM(I461)</f>
        <v>1122425.76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1941.19</v>
      </c>
      <c r="H644" s="104">
        <f>H408</f>
        <v>1941.19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475000</v>
      </c>
      <c r="H645" s="104">
        <f>G408</f>
        <v>475000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476941.19</v>
      </c>
      <c r="H646" s="104">
        <f>L408</f>
        <v>476941.18999999994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1099513.7100000002</v>
      </c>
      <c r="H647" s="104">
        <f>L208+L226+L244</f>
        <v>1099513.71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576345.67999999993</v>
      </c>
      <c r="H648" s="104">
        <f>(J257+J338)-(J255+J336)</f>
        <v>576345.67999999993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444627.57</v>
      </c>
      <c r="H649" s="104">
        <f>H598</f>
        <v>444627.57000000007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260431.76</v>
      </c>
      <c r="H650" s="104">
        <f>I598</f>
        <v>260431.76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394454.38</v>
      </c>
      <c r="H651" s="104">
        <f>J598</f>
        <v>394454.38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9000</v>
      </c>
      <c r="H652" s="104">
        <f>K263+K345</f>
        <v>9000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475000</v>
      </c>
      <c r="H655" s="104">
        <f>K266+K347</f>
        <v>475000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9179991.9199999999</v>
      </c>
      <c r="G660" s="19">
        <f>(L229+L309+L359)</f>
        <v>5654646.629999999</v>
      </c>
      <c r="H660" s="19">
        <f>(L247+L328+L360)</f>
        <v>7655807.7299999995</v>
      </c>
      <c r="I660" s="19">
        <f>SUM(F660:H660)</f>
        <v>22490446.279999997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148478.43501498539</v>
      </c>
      <c r="G661" s="19">
        <f>(L359/IF(SUM(L358:L360)=0,1,SUM(L358:L360))*(SUM(G97:G110)))</f>
        <v>66753.052251247791</v>
      </c>
      <c r="H661" s="19">
        <f>(L360/IF(SUM(L358:L360)=0,1,SUM(L358:L360))*(SUM(G97:G110)))</f>
        <v>100651.09273376683</v>
      </c>
      <c r="I661" s="19">
        <f>SUM(F661:H661)</f>
        <v>315882.58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444627.57</v>
      </c>
      <c r="G662" s="19">
        <f>(L226+L306)-(J226+J306)</f>
        <v>260431.76</v>
      </c>
      <c r="H662" s="19">
        <f>(L244+L325)-(J244+J325)</f>
        <v>394454.38</v>
      </c>
      <c r="I662" s="19">
        <f>SUM(F662:H662)</f>
        <v>1099513.71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214994.55000000002</v>
      </c>
      <c r="G663" s="199">
        <f>SUM(G575:G587)+SUM(I602:I604)+L612</f>
        <v>189055.40999999997</v>
      </c>
      <c r="H663" s="199">
        <f>SUM(H575:H587)+SUM(J602:J604)+L613</f>
        <v>1226544.76</v>
      </c>
      <c r="I663" s="19">
        <f>SUM(F663:H663)</f>
        <v>1630594.72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8371891.3649850143</v>
      </c>
      <c r="G664" s="19">
        <f>G660-SUM(G661:G663)</f>
        <v>5138406.4077487513</v>
      </c>
      <c r="H664" s="19">
        <f>H660-SUM(H661:H663)</f>
        <v>5934157.497266233</v>
      </c>
      <c r="I664" s="19">
        <f>I660-SUM(I661:I663)</f>
        <v>19444455.269999996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624.29999999999995</v>
      </c>
      <c r="G665" s="248">
        <v>342.2</v>
      </c>
      <c r="H665" s="248">
        <v>454.28</v>
      </c>
      <c r="I665" s="19">
        <f>SUM(F665:H665)</f>
        <v>1420.78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13410.05</v>
      </c>
      <c r="G667" s="19">
        <f>ROUND(G664/G665,2)</f>
        <v>15015.8</v>
      </c>
      <c r="H667" s="19">
        <f>ROUND(H664/H665,2)</f>
        <v>13062.78</v>
      </c>
      <c r="I667" s="19">
        <f>ROUND(I664/I665,2)</f>
        <v>13685.76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-7.16</v>
      </c>
      <c r="I670" s="19">
        <f>SUM(F670:H670)</f>
        <v>-7.16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13410.05</v>
      </c>
      <c r="G672" s="19">
        <f>ROUND((G664+G669)/(G665+G670),2)</f>
        <v>15015.8</v>
      </c>
      <c r="H672" s="19">
        <f>ROUND((H664+H669)/(H665+H670),2)</f>
        <v>13271.96</v>
      </c>
      <c r="I672" s="19">
        <f>ROUND((I664+I669)/(I665+I670),2)</f>
        <v>13755.08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Winnisquam Regional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5155009.88</v>
      </c>
      <c r="C9" s="229">
        <f>'DOE25'!G197+'DOE25'!G215+'DOE25'!G233+'DOE25'!G276+'DOE25'!G295+'DOE25'!G314</f>
        <v>2165446.85</v>
      </c>
    </row>
    <row r="10" spans="1:3" x14ac:dyDescent="0.2">
      <c r="A10" t="s">
        <v>779</v>
      </c>
      <c r="B10" s="240">
        <v>4743427.58</v>
      </c>
      <c r="C10" s="240">
        <v>2131049.29</v>
      </c>
    </row>
    <row r="11" spans="1:3" x14ac:dyDescent="0.2">
      <c r="A11" t="s">
        <v>780</v>
      </c>
      <c r="B11" s="240">
        <v>33930.839999999997</v>
      </c>
      <c r="C11" s="240">
        <v>2899.13</v>
      </c>
    </row>
    <row r="12" spans="1:3" x14ac:dyDescent="0.2">
      <c r="A12" t="s">
        <v>781</v>
      </c>
      <c r="B12" s="240">
        <v>377651.46</v>
      </c>
      <c r="C12" s="240">
        <v>31498.43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5155009.88</v>
      </c>
      <c r="C13" s="231">
        <f>SUM(C10:C12)</f>
        <v>2165446.85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1827717.95</v>
      </c>
      <c r="C18" s="229">
        <f>'DOE25'!G198+'DOE25'!G216+'DOE25'!G234+'DOE25'!G277+'DOE25'!G296+'DOE25'!G315</f>
        <v>616106.2300000001</v>
      </c>
    </row>
    <row r="19" spans="1:3" x14ac:dyDescent="0.2">
      <c r="A19" t="s">
        <v>779</v>
      </c>
      <c r="B19" s="240">
        <v>998766.25</v>
      </c>
      <c r="C19" s="240">
        <v>402303.95</v>
      </c>
    </row>
    <row r="20" spans="1:3" x14ac:dyDescent="0.2">
      <c r="A20" t="s">
        <v>780</v>
      </c>
      <c r="B20" s="240">
        <v>696459.67</v>
      </c>
      <c r="C20" s="240">
        <v>179630.09</v>
      </c>
    </row>
    <row r="21" spans="1:3" x14ac:dyDescent="0.2">
      <c r="A21" t="s">
        <v>781</v>
      </c>
      <c r="B21" s="240">
        <v>132492.03</v>
      </c>
      <c r="C21" s="240">
        <v>34172.19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1827717.95</v>
      </c>
      <c r="C22" s="231">
        <f>SUM(C19:C21)</f>
        <v>616106.23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193644.98</v>
      </c>
      <c r="C27" s="234">
        <f>'DOE25'!G199+'DOE25'!G217+'DOE25'!G235+'DOE25'!G278+'DOE25'!G297+'DOE25'!G316</f>
        <v>96625.55</v>
      </c>
    </row>
    <row r="28" spans="1:3" x14ac:dyDescent="0.2">
      <c r="A28" t="s">
        <v>779</v>
      </c>
      <c r="B28" s="240">
        <v>173852.04</v>
      </c>
      <c r="C28" s="240">
        <v>87374.41</v>
      </c>
    </row>
    <row r="29" spans="1:3" x14ac:dyDescent="0.2">
      <c r="A29" t="s">
        <v>780</v>
      </c>
      <c r="B29" s="240">
        <v>0</v>
      </c>
      <c r="C29" s="240"/>
    </row>
    <row r="30" spans="1:3" x14ac:dyDescent="0.2">
      <c r="A30" t="s">
        <v>781</v>
      </c>
      <c r="B30" s="240">
        <v>19792.939999999999</v>
      </c>
      <c r="C30" s="240">
        <v>9251.14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193644.98</v>
      </c>
      <c r="C31" s="231">
        <f>SUM(C28:C30)</f>
        <v>96625.55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263852.96000000002</v>
      </c>
      <c r="C36" s="235">
        <f>'DOE25'!G200+'DOE25'!G218+'DOE25'!G236+'DOE25'!G279+'DOE25'!G298+'DOE25'!G317</f>
        <v>64475.95</v>
      </c>
    </row>
    <row r="37" spans="1:3" x14ac:dyDescent="0.2">
      <c r="A37" t="s">
        <v>779</v>
      </c>
      <c r="B37" s="240">
        <v>16300</v>
      </c>
      <c r="C37" s="240">
        <v>1238.24</v>
      </c>
    </row>
    <row r="38" spans="1:3" x14ac:dyDescent="0.2">
      <c r="A38" t="s">
        <v>780</v>
      </c>
      <c r="B38" s="240">
        <v>0</v>
      </c>
      <c r="C38" s="240"/>
    </row>
    <row r="39" spans="1:3" x14ac:dyDescent="0.2">
      <c r="A39" t="s">
        <v>781</v>
      </c>
      <c r="B39" s="240">
        <v>247552.96</v>
      </c>
      <c r="C39" s="240">
        <v>63237.71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263852.95999999996</v>
      </c>
      <c r="C40" s="231">
        <f>SUM(C37:C39)</f>
        <v>64475.95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K6" sqref="K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Winnisquam Regional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12154674.66</v>
      </c>
      <c r="D5" s="20">
        <f>SUM('DOE25'!L197:L200)+SUM('DOE25'!L215:L218)+SUM('DOE25'!L233:L236)-F5-G5</f>
        <v>12039172.76</v>
      </c>
      <c r="E5" s="243"/>
      <c r="F5" s="255">
        <f>SUM('DOE25'!J197:J200)+SUM('DOE25'!J215:J218)+SUM('DOE25'!J233:J236)</f>
        <v>66760.160000000003</v>
      </c>
      <c r="G5" s="53">
        <f>SUM('DOE25'!K197:K200)+SUM('DOE25'!K215:K218)+SUM('DOE25'!K233:K236)</f>
        <v>48741.740000000005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1376653.96</v>
      </c>
      <c r="D6" s="20">
        <f>'DOE25'!L202+'DOE25'!L220+'DOE25'!L238-F6-G6</f>
        <v>1369475.71</v>
      </c>
      <c r="E6" s="243"/>
      <c r="F6" s="255">
        <f>'DOE25'!J202+'DOE25'!J220+'DOE25'!J238</f>
        <v>6421.25</v>
      </c>
      <c r="G6" s="53">
        <f>'DOE25'!K202+'DOE25'!K220+'DOE25'!K238</f>
        <v>757</v>
      </c>
      <c r="H6" s="259"/>
    </row>
    <row r="7" spans="1:9" x14ac:dyDescent="0.2">
      <c r="A7" s="32">
        <v>2200</v>
      </c>
      <c r="B7" t="s">
        <v>834</v>
      </c>
      <c r="C7" s="245">
        <f t="shared" si="0"/>
        <v>553812.77</v>
      </c>
      <c r="D7" s="20">
        <f>'DOE25'!L203+'DOE25'!L221+'DOE25'!L239-F7-G7</f>
        <v>550432.89</v>
      </c>
      <c r="E7" s="243"/>
      <c r="F7" s="255">
        <f>'DOE25'!J203+'DOE25'!J221+'DOE25'!J239</f>
        <v>1877.89</v>
      </c>
      <c r="G7" s="53">
        <f>'DOE25'!K203+'DOE25'!K221+'DOE25'!K239</f>
        <v>1501.99</v>
      </c>
      <c r="H7" s="259"/>
    </row>
    <row r="8" spans="1:9" x14ac:dyDescent="0.2">
      <c r="A8" s="32">
        <v>2300</v>
      </c>
      <c r="B8" t="s">
        <v>802</v>
      </c>
      <c r="C8" s="245">
        <f t="shared" si="0"/>
        <v>992060.23000000021</v>
      </c>
      <c r="D8" s="243"/>
      <c r="E8" s="20">
        <f>'DOE25'!L204+'DOE25'!L222+'DOE25'!L240-F8-G8-D9-D11</f>
        <v>712091.10000000009</v>
      </c>
      <c r="F8" s="255">
        <f>'DOE25'!J204+'DOE25'!J222+'DOE25'!J240</f>
        <v>271377.32</v>
      </c>
      <c r="G8" s="53">
        <f>'DOE25'!K204+'DOE25'!K222+'DOE25'!K240</f>
        <v>8591.81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209015.07</v>
      </c>
      <c r="D9" s="244">
        <v>209015.07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18000</v>
      </c>
      <c r="D10" s="243"/>
      <c r="E10" s="244">
        <v>18000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402339.17</v>
      </c>
      <c r="D11" s="244">
        <v>402339.17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1261622.22</v>
      </c>
      <c r="D12" s="20">
        <f>'DOE25'!L205+'DOE25'!L223+'DOE25'!L241-F12-G12</f>
        <v>1251237.33</v>
      </c>
      <c r="E12" s="243"/>
      <c r="F12" s="255">
        <f>'DOE25'!J205+'DOE25'!J223+'DOE25'!J241</f>
        <v>5327.3899999999994</v>
      </c>
      <c r="G12" s="53">
        <f>'DOE25'!K205+'DOE25'!K223+'DOE25'!K241</f>
        <v>5057.5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310008.65000000002</v>
      </c>
      <c r="D13" s="243"/>
      <c r="E13" s="20">
        <f>'DOE25'!L206+'DOE25'!L224+'DOE25'!L242-F13-G13</f>
        <v>310008.65000000002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2568525.4900000002</v>
      </c>
      <c r="D14" s="20">
        <f>'DOE25'!L207+'DOE25'!L225+'DOE25'!L243-F14-G14</f>
        <v>2417752.2000000002</v>
      </c>
      <c r="E14" s="243"/>
      <c r="F14" s="255">
        <f>'DOE25'!J207+'DOE25'!J225+'DOE25'!J243</f>
        <v>149430.22</v>
      </c>
      <c r="G14" s="53">
        <f>'DOE25'!K207+'DOE25'!K225+'DOE25'!K243</f>
        <v>1343.0700000000002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1099513.71</v>
      </c>
      <c r="D15" s="20">
        <f>'DOE25'!L208+'DOE25'!L226+'DOE25'!L244-F15-G15</f>
        <v>1099513.71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1867013.49</v>
      </c>
      <c r="D25" s="243"/>
      <c r="E25" s="243"/>
      <c r="F25" s="258"/>
      <c r="G25" s="256"/>
      <c r="H25" s="257">
        <f>'DOE25'!L260+'DOE25'!L261+'DOE25'!L341+'DOE25'!L342</f>
        <v>1867013.49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325936.27</v>
      </c>
      <c r="D29" s="20">
        <f>'DOE25'!L358+'DOE25'!L359+'DOE25'!L360-'DOE25'!I367-F29-G29</f>
        <v>306650.58</v>
      </c>
      <c r="E29" s="243"/>
      <c r="F29" s="255">
        <f>'DOE25'!J358+'DOE25'!J359+'DOE25'!J360</f>
        <v>18591.04</v>
      </c>
      <c r="G29" s="53">
        <f>'DOE25'!K358+'DOE25'!K359+'DOE25'!K360</f>
        <v>694.65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906671.5</v>
      </c>
      <c r="D31" s="20">
        <f>'DOE25'!L290+'DOE25'!L309+'DOE25'!L328+'DOE25'!L333+'DOE25'!L334+'DOE25'!L335-F31-G31</f>
        <v>830791.53</v>
      </c>
      <c r="E31" s="243"/>
      <c r="F31" s="255">
        <f>'DOE25'!J290+'DOE25'!J309+'DOE25'!J328+'DOE25'!J333+'DOE25'!J334+'DOE25'!J335</f>
        <v>75151.450000000012</v>
      </c>
      <c r="G31" s="53">
        <f>'DOE25'!K290+'DOE25'!K309+'DOE25'!K328+'DOE25'!K333+'DOE25'!K334+'DOE25'!K335</f>
        <v>728.52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20476380.949999999</v>
      </c>
      <c r="E33" s="246">
        <f>SUM(E5:E31)</f>
        <v>1040099.7500000001</v>
      </c>
      <c r="F33" s="246">
        <f>SUM(F5:F31)</f>
        <v>594936.72</v>
      </c>
      <c r="G33" s="246">
        <f>SUM(G5:G31)</f>
        <v>67416.28</v>
      </c>
      <c r="H33" s="246">
        <f>SUM(H5:H31)</f>
        <v>1867013.49</v>
      </c>
    </row>
    <row r="35" spans="2:8" ht="12" thickBot="1" x14ac:dyDescent="0.25">
      <c r="B35" s="253" t="s">
        <v>847</v>
      </c>
      <c r="D35" s="254">
        <f>E33</f>
        <v>1040099.7500000001</v>
      </c>
      <c r="E35" s="249"/>
    </row>
    <row r="36" spans="2:8" ht="12" thickTop="1" x14ac:dyDescent="0.2">
      <c r="B36" t="s">
        <v>815</v>
      </c>
      <c r="D36" s="20">
        <f>D33</f>
        <v>20476380.949999999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Winnisquam Regional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1425953.1</v>
      </c>
      <c r="D8" s="95">
        <f>'DOE25'!G9</f>
        <v>1248.06</v>
      </c>
      <c r="E8" s="95">
        <f>'DOE25'!H9</f>
        <v>15778.78</v>
      </c>
      <c r="F8" s="95">
        <f>'DOE25'!I9</f>
        <v>0</v>
      </c>
      <c r="G8" s="95">
        <f>'DOE25'!J9</f>
        <v>1122425.76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385934.17</v>
      </c>
      <c r="D11" s="95">
        <f>'DOE25'!G12</f>
        <v>142792.04999999999</v>
      </c>
      <c r="E11" s="95">
        <f>'DOE25'!H12</f>
        <v>11535.88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27289.9</v>
      </c>
      <c r="E12" s="95">
        <f>'DOE25'!H13</f>
        <v>217594.1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87844.59</v>
      </c>
      <c r="D13" s="95">
        <f>'DOE25'!G14</f>
        <v>3484.55</v>
      </c>
      <c r="E13" s="95">
        <f>'DOE25'!H14</f>
        <v>4064.46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43014.28</v>
      </c>
      <c r="D16" s="95">
        <f>'DOE25'!G17</f>
        <v>865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1942746.1400000001</v>
      </c>
      <c r="D18" s="41">
        <f>SUM(D8:D17)</f>
        <v>175679.55999999997</v>
      </c>
      <c r="E18" s="41">
        <f>SUM(E8:E17)</f>
        <v>248973.22</v>
      </c>
      <c r="F18" s="41">
        <f>SUM(F8:F17)</f>
        <v>0</v>
      </c>
      <c r="G18" s="41">
        <f>SUM(G8:G17)</f>
        <v>1122425.76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280366.73</v>
      </c>
      <c r="D21" s="95">
        <f>'DOE25'!G22</f>
        <v>0</v>
      </c>
      <c r="E21" s="95">
        <f>'DOE25'!H22</f>
        <v>217594.1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298399.39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121761.29</v>
      </c>
      <c r="D27" s="95">
        <f>'DOE25'!G28</f>
        <v>5799.33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423569.53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8513.2099999999991</v>
      </c>
      <c r="E29" s="95">
        <f>'DOE25'!H30</f>
        <v>12085.46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2726.91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1126823.8499999999</v>
      </c>
      <c r="D31" s="41">
        <f>SUM(D21:D30)</f>
        <v>14312.539999999999</v>
      </c>
      <c r="E31" s="41">
        <f>SUM(E21:E30)</f>
        <v>229679.56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308974.68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161367.01999999999</v>
      </c>
      <c r="E47" s="95">
        <f>'DOE25'!H48</f>
        <v>19293.66</v>
      </c>
      <c r="F47" s="95">
        <f>'DOE25'!I48</f>
        <v>0</v>
      </c>
      <c r="G47" s="95">
        <f>'DOE25'!J48</f>
        <v>1122425.76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56947.61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815922.28999999992</v>
      </c>
      <c r="D50" s="41">
        <f>SUM(D34:D49)</f>
        <v>161367.01999999999</v>
      </c>
      <c r="E50" s="41">
        <f>SUM(E34:E49)</f>
        <v>19293.66</v>
      </c>
      <c r="F50" s="41">
        <f>SUM(F34:F49)</f>
        <v>0</v>
      </c>
      <c r="G50" s="41">
        <f>SUM(G34:G49)</f>
        <v>1122425.76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1942746.1399999997</v>
      </c>
      <c r="D51" s="41">
        <f>D50+D31</f>
        <v>175679.56</v>
      </c>
      <c r="E51" s="41">
        <f>E50+E31</f>
        <v>248973.22</v>
      </c>
      <c r="F51" s="41">
        <f>F50+F31</f>
        <v>0</v>
      </c>
      <c r="G51" s="41">
        <f>G50+G31</f>
        <v>1122425.76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11525017.01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125324.77</v>
      </c>
      <c r="D57" s="24" t="s">
        <v>289</v>
      </c>
      <c r="E57" s="95">
        <f>'DOE25'!H79</f>
        <v>1614.7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6180.29</v>
      </c>
      <c r="D59" s="95">
        <f>'DOE25'!G96</f>
        <v>0</v>
      </c>
      <c r="E59" s="95">
        <f>'DOE25'!H96</f>
        <v>15.28</v>
      </c>
      <c r="F59" s="95">
        <f>'DOE25'!I96</f>
        <v>0</v>
      </c>
      <c r="G59" s="95">
        <f>'DOE25'!J96</f>
        <v>1941.19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315882.58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472884.81999999995</v>
      </c>
      <c r="D61" s="95">
        <f>SUM('DOE25'!G98:G110)</f>
        <v>0</v>
      </c>
      <c r="E61" s="95">
        <f>SUM('DOE25'!H98:H110)</f>
        <v>13595.89</v>
      </c>
      <c r="F61" s="95">
        <f>SUM('DOE25'!I98:I110)</f>
        <v>3787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604389.87999999989</v>
      </c>
      <c r="D62" s="130">
        <f>SUM(D57:D61)</f>
        <v>315882.58</v>
      </c>
      <c r="E62" s="130">
        <f>SUM(E57:E61)</f>
        <v>15225.869999999999</v>
      </c>
      <c r="F62" s="130">
        <f>SUM(F57:F61)</f>
        <v>3787</v>
      </c>
      <c r="G62" s="130">
        <f>SUM(G57:G61)</f>
        <v>1941.19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12129406.890000001</v>
      </c>
      <c r="D63" s="22">
        <f>D56+D62</f>
        <v>315882.58</v>
      </c>
      <c r="E63" s="22">
        <f>E56+E62</f>
        <v>15225.869999999999</v>
      </c>
      <c r="F63" s="22">
        <f>F56+F62</f>
        <v>3787</v>
      </c>
      <c r="G63" s="22">
        <f>G56+G62</f>
        <v>1941.19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6404801.6200000001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2907756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9312557.620000001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864140.53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232795.84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72709.95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1113.5999999999999</v>
      </c>
      <c r="D77" s="95">
        <f>SUM('DOE25'!G131:G135)</f>
        <v>9158.23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1170759.9200000002</v>
      </c>
      <c r="D78" s="130">
        <f>SUM(D72:D77)</f>
        <v>9158.23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10483317.540000001</v>
      </c>
      <c r="D81" s="130">
        <f>SUM(D79:D80)+D78+D70</f>
        <v>9158.23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257581.16</v>
      </c>
      <c r="D88" s="95">
        <f>SUM('DOE25'!G153:G161)</f>
        <v>325349.98</v>
      </c>
      <c r="E88" s="95">
        <f>SUM('DOE25'!H153:H161)</f>
        <v>892870.09000000008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257581.16</v>
      </c>
      <c r="D91" s="131">
        <f>SUM(D85:D90)</f>
        <v>325349.98</v>
      </c>
      <c r="E91" s="131">
        <f>SUM(E85:E90)</f>
        <v>892870.09000000008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9000</v>
      </c>
      <c r="E96" s="95">
        <f>'DOE25'!H179</f>
        <v>0</v>
      </c>
      <c r="F96" s="95">
        <f>'DOE25'!I179</f>
        <v>0</v>
      </c>
      <c r="G96" s="95">
        <f>'DOE25'!J179</f>
        <v>475000</v>
      </c>
    </row>
    <row r="97" spans="1:7" x14ac:dyDescent="0.2">
      <c r="A97" t="s">
        <v>758</v>
      </c>
      <c r="B97" s="32" t="s">
        <v>188</v>
      </c>
      <c r="C97" s="95">
        <f>SUM('DOE25'!F180:F181)</f>
        <v>3327.9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43341.09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19006.2</v>
      </c>
      <c r="D99" s="95">
        <f>'DOE25'!G185</f>
        <v>0</v>
      </c>
      <c r="E99" s="95">
        <f>'DOE25'!H185</f>
        <v>19006.2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65675.19</v>
      </c>
      <c r="D103" s="86">
        <f>SUM(D93:D102)</f>
        <v>9000</v>
      </c>
      <c r="E103" s="86">
        <f>SUM(E93:E102)</f>
        <v>19006.2</v>
      </c>
      <c r="F103" s="86">
        <f>SUM(F93:F102)</f>
        <v>0</v>
      </c>
      <c r="G103" s="86">
        <f>SUM(G93:G102)</f>
        <v>475000</v>
      </c>
    </row>
    <row r="104" spans="1:7" ht="12.75" thickTop="1" thickBot="1" x14ac:dyDescent="0.25">
      <c r="A104" s="33" t="s">
        <v>765</v>
      </c>
      <c r="C104" s="86">
        <f>C63+C81+C91+C103</f>
        <v>22935980.780000001</v>
      </c>
      <c r="D104" s="86">
        <f>D63+D81+D91+D103</f>
        <v>659390.79</v>
      </c>
      <c r="E104" s="86">
        <f>E63+E81+E91+E103</f>
        <v>927102.16</v>
      </c>
      <c r="F104" s="86">
        <f>F63+F81+F91+F103</f>
        <v>3787</v>
      </c>
      <c r="G104" s="86">
        <f>G63+G81+G103</f>
        <v>476941.19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7426342.6100000003</v>
      </c>
      <c r="D109" s="24" t="s">
        <v>289</v>
      </c>
      <c r="E109" s="95">
        <f>('DOE25'!L276)+('DOE25'!L295)+('DOE25'!L314)</f>
        <v>370972.44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3862526.5700000003</v>
      </c>
      <c r="D110" s="24" t="s">
        <v>289</v>
      </c>
      <c r="E110" s="95">
        <f>('DOE25'!L277)+('DOE25'!L296)+('DOE25'!L315)</f>
        <v>285472.44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435131.95</v>
      </c>
      <c r="D111" s="24" t="s">
        <v>289</v>
      </c>
      <c r="E111" s="95">
        <f>('DOE25'!L278)+('DOE25'!L297)+('DOE25'!L316)</f>
        <v>30366.639999999999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430673.53</v>
      </c>
      <c r="D112" s="24" t="s">
        <v>289</v>
      </c>
      <c r="E112" s="95">
        <f>+('DOE25'!L279)+('DOE25'!L298)+('DOE25'!L317)</f>
        <v>11403.93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12154674.659999998</v>
      </c>
      <c r="D115" s="86">
        <f>SUM(D109:D114)</f>
        <v>0</v>
      </c>
      <c r="E115" s="86">
        <f>SUM(E109:E114)</f>
        <v>698215.45000000007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1376653.96</v>
      </c>
      <c r="D118" s="24" t="s">
        <v>289</v>
      </c>
      <c r="E118" s="95">
        <f>+('DOE25'!L281)+('DOE25'!L300)+('DOE25'!L319)</f>
        <v>96224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553812.77</v>
      </c>
      <c r="D119" s="24" t="s">
        <v>289</v>
      </c>
      <c r="E119" s="95">
        <f>+('DOE25'!L282)+('DOE25'!L301)+('DOE25'!L320)</f>
        <v>103114.04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1603414.4700000002</v>
      </c>
      <c r="D120" s="24" t="s">
        <v>289</v>
      </c>
      <c r="E120" s="95">
        <f>+('DOE25'!L283)+('DOE25'!L302)+('DOE25'!L321)</f>
        <v>3743.87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1261622.22</v>
      </c>
      <c r="D121" s="24" t="s">
        <v>289</v>
      </c>
      <c r="E121" s="95">
        <f>+('DOE25'!L284)+('DOE25'!L303)+('DOE25'!L322)</f>
        <v>728.52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310008.65000000002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2568525.4900000002</v>
      </c>
      <c r="D123" s="24" t="s">
        <v>289</v>
      </c>
      <c r="E123" s="95">
        <f>+('DOE25'!L286)+('DOE25'!L305)+('DOE25'!L324)</f>
        <v>4645.6200000000008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1099513.71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655548.85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8773551.2699999996</v>
      </c>
      <c r="D128" s="86">
        <f>SUM(D118:D127)</f>
        <v>655548.85</v>
      </c>
      <c r="E128" s="86">
        <f>SUM(E118:E127)</f>
        <v>208456.04999999996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1581711.04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285302.45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3327.9</v>
      </c>
      <c r="F134" s="95">
        <f>'DOE25'!K381</f>
        <v>43341.09</v>
      </c>
      <c r="G134" s="95">
        <f>'DOE25'!K434</f>
        <v>19006.2</v>
      </c>
    </row>
    <row r="135" spans="1:7" x14ac:dyDescent="0.2">
      <c r="A135" t="s">
        <v>233</v>
      </c>
      <c r="B135" s="32" t="s">
        <v>234</v>
      </c>
      <c r="C135" s="95">
        <f>'DOE25'!L263</f>
        <v>9000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451628.95999999996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25312.23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-1941.1899999999441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19006.2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2370019.6900000004</v>
      </c>
      <c r="D144" s="141">
        <f>SUM(D130:D143)</f>
        <v>0</v>
      </c>
      <c r="E144" s="141">
        <f>SUM(E130:E143)</f>
        <v>3327.9</v>
      </c>
      <c r="F144" s="141">
        <f>SUM(F130:F143)</f>
        <v>43341.09</v>
      </c>
      <c r="G144" s="141">
        <f>SUM(G130:G143)</f>
        <v>19006.2</v>
      </c>
    </row>
    <row r="145" spans="1:9" ht="12.75" thickTop="1" thickBot="1" x14ac:dyDescent="0.25">
      <c r="A145" s="33" t="s">
        <v>244</v>
      </c>
      <c r="C145" s="86">
        <f>(C115+C128+C144)</f>
        <v>23298245.620000001</v>
      </c>
      <c r="D145" s="86">
        <f>(D115+D128+D144)</f>
        <v>655548.85</v>
      </c>
      <c r="E145" s="86">
        <f>(E115+E128+E144)</f>
        <v>909999.4</v>
      </c>
      <c r="F145" s="86">
        <f>(F115+F128+F144)</f>
        <v>43341.09</v>
      </c>
      <c r="G145" s="86">
        <f>(G115+G128+G144)</f>
        <v>19006.2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13</v>
      </c>
      <c r="C151" s="153">
        <f>'DOE25'!G490</f>
        <v>10</v>
      </c>
      <c r="D151" s="153">
        <f>'DOE25'!H490</f>
        <v>15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1/03</v>
      </c>
      <c r="C152" s="152" t="str">
        <f>'DOE25'!G491</f>
        <v>3/11</v>
      </c>
      <c r="D152" s="152" t="str">
        <f>'DOE25'!H491</f>
        <v>12/11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1/15</v>
      </c>
      <c r="C153" s="152" t="str">
        <f>'DOE25'!G492</f>
        <v>8/21</v>
      </c>
      <c r="D153" s="152" t="str">
        <f>'DOE25'!H492</f>
        <v>12/25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7005000</v>
      </c>
      <c r="C154" s="137">
        <f>'DOE25'!G493</f>
        <v>8625000</v>
      </c>
      <c r="D154" s="137">
        <f>'DOE25'!H493</f>
        <v>3396240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3.2</v>
      </c>
      <c r="C155" s="137">
        <f>'DOE25'!G494</f>
        <v>3.19</v>
      </c>
      <c r="D155" s="137">
        <f>'DOE25'!H494</f>
        <v>1.4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885000</v>
      </c>
      <c r="C156" s="137">
        <f>'DOE25'!G495</f>
        <v>7605000</v>
      </c>
      <c r="D156" s="137">
        <f>'DOE25'!H495</f>
        <v>2729619.25</v>
      </c>
      <c r="E156" s="137">
        <f>'DOE25'!I495</f>
        <v>0</v>
      </c>
      <c r="F156" s="137">
        <f>'DOE25'!J495</f>
        <v>0</v>
      </c>
      <c r="G156" s="138">
        <f>SUM(B156:F156)</f>
        <v>11219619.25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450000</v>
      </c>
      <c r="C158" s="137">
        <f>'DOE25'!G497</f>
        <v>910000</v>
      </c>
      <c r="D158" s="137">
        <f>'DOE25'!H497</f>
        <v>221847.17</v>
      </c>
      <c r="E158" s="137">
        <f>'DOE25'!I497</f>
        <v>0</v>
      </c>
      <c r="F158" s="137">
        <f>'DOE25'!J497</f>
        <v>0</v>
      </c>
      <c r="G158" s="138">
        <f t="shared" si="0"/>
        <v>1581847.17</v>
      </c>
    </row>
    <row r="159" spans="1:9" x14ac:dyDescent="0.2">
      <c r="A159" s="22" t="s">
        <v>35</v>
      </c>
      <c r="B159" s="137">
        <f>'DOE25'!F498</f>
        <v>435000</v>
      </c>
      <c r="C159" s="137">
        <f>'DOE25'!G498</f>
        <v>6695000</v>
      </c>
      <c r="D159" s="137">
        <f>'DOE25'!H498</f>
        <v>2507772.08</v>
      </c>
      <c r="E159" s="137">
        <f>'DOE25'!I498</f>
        <v>0</v>
      </c>
      <c r="F159" s="137">
        <f>'DOE25'!J498</f>
        <v>0</v>
      </c>
      <c r="G159" s="138">
        <f t="shared" si="0"/>
        <v>9637772.0800000001</v>
      </c>
    </row>
    <row r="160" spans="1:9" x14ac:dyDescent="0.2">
      <c r="A160" s="22" t="s">
        <v>36</v>
      </c>
      <c r="B160" s="137">
        <f>'DOE25'!F499</f>
        <v>17400</v>
      </c>
      <c r="C160" s="137">
        <f>'DOE25'!G499</f>
        <v>909862.58</v>
      </c>
      <c r="D160" s="137">
        <f>'DOE25'!H499</f>
        <v>212268.09</v>
      </c>
      <c r="E160" s="137">
        <f>'DOE25'!I499</f>
        <v>0</v>
      </c>
      <c r="F160" s="137">
        <f>'DOE25'!J499</f>
        <v>0</v>
      </c>
      <c r="G160" s="138">
        <f t="shared" si="0"/>
        <v>1139530.67</v>
      </c>
    </row>
    <row r="161" spans="1:7" x14ac:dyDescent="0.2">
      <c r="A161" s="22" t="s">
        <v>37</v>
      </c>
      <c r="B161" s="137">
        <f>'DOE25'!F500</f>
        <v>452400</v>
      </c>
      <c r="C161" s="137">
        <f>'DOE25'!G500</f>
        <v>7604862.5800000001</v>
      </c>
      <c r="D161" s="137">
        <f>'DOE25'!H500</f>
        <v>2720040.17</v>
      </c>
      <c r="E161" s="137">
        <f>'DOE25'!I500</f>
        <v>0</v>
      </c>
      <c r="F161" s="137">
        <f>'DOE25'!J500</f>
        <v>0</v>
      </c>
      <c r="G161" s="138">
        <f t="shared" si="0"/>
        <v>10777302.75</v>
      </c>
    </row>
    <row r="162" spans="1:7" x14ac:dyDescent="0.2">
      <c r="A162" s="22" t="s">
        <v>38</v>
      </c>
      <c r="B162" s="137">
        <f>'DOE25'!F501</f>
        <v>435000</v>
      </c>
      <c r="C162" s="137">
        <f>'DOE25'!G501</f>
        <v>890000</v>
      </c>
      <c r="D162" s="137">
        <f>'DOE25'!H501</f>
        <v>222823.03</v>
      </c>
      <c r="E162" s="137">
        <f>'DOE25'!I501</f>
        <v>0</v>
      </c>
      <c r="F162" s="137">
        <f>'DOE25'!J501</f>
        <v>0</v>
      </c>
      <c r="G162" s="138">
        <f t="shared" si="0"/>
        <v>1547823.03</v>
      </c>
    </row>
    <row r="163" spans="1:7" x14ac:dyDescent="0.2">
      <c r="A163" s="22" t="s">
        <v>39</v>
      </c>
      <c r="B163" s="137">
        <f>'DOE25'!F502</f>
        <v>17400</v>
      </c>
      <c r="C163" s="137">
        <f>'DOE25'!G502</f>
        <v>194275</v>
      </c>
      <c r="D163" s="137">
        <f>'DOE25'!H502</f>
        <v>35108.81</v>
      </c>
      <c r="E163" s="137">
        <f>'DOE25'!I502</f>
        <v>0</v>
      </c>
      <c r="F163" s="137">
        <f>'DOE25'!J502</f>
        <v>0</v>
      </c>
      <c r="G163" s="138">
        <f t="shared" si="0"/>
        <v>246783.81</v>
      </c>
    </row>
    <row r="164" spans="1:7" x14ac:dyDescent="0.2">
      <c r="A164" s="22" t="s">
        <v>246</v>
      </c>
      <c r="B164" s="137">
        <f>'DOE25'!F503</f>
        <v>452400</v>
      </c>
      <c r="C164" s="137">
        <f>'DOE25'!G503</f>
        <v>1084275</v>
      </c>
      <c r="D164" s="137">
        <f>'DOE25'!H503</f>
        <v>257931.84</v>
      </c>
      <c r="E164" s="137">
        <f>'DOE25'!I503</f>
        <v>0</v>
      </c>
      <c r="F164" s="137">
        <f>'DOE25'!J503</f>
        <v>0</v>
      </c>
      <c r="G164" s="138">
        <f t="shared" si="0"/>
        <v>1794606.84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Winnisquam Regional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13410</v>
      </c>
    </row>
    <row r="5" spans="1:4" x14ac:dyDescent="0.2">
      <c r="B5" t="s">
        <v>704</v>
      </c>
      <c r="C5" s="179">
        <f>IF('DOE25'!G665+'DOE25'!G670=0,0,ROUND('DOE25'!G672,0))</f>
        <v>15016</v>
      </c>
    </row>
    <row r="6" spans="1:4" x14ac:dyDescent="0.2">
      <c r="B6" t="s">
        <v>62</v>
      </c>
      <c r="C6" s="179">
        <f>IF('DOE25'!H665+'DOE25'!H670=0,0,ROUND('DOE25'!H672,0))</f>
        <v>13272</v>
      </c>
    </row>
    <row r="7" spans="1:4" x14ac:dyDescent="0.2">
      <c r="B7" t="s">
        <v>705</v>
      </c>
      <c r="C7" s="179">
        <f>IF('DOE25'!I665+'DOE25'!I670=0,0,ROUND('DOE25'!I672,0))</f>
        <v>13755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7797315</v>
      </c>
      <c r="D10" s="182">
        <f>ROUND((C10/$C$28)*100,1)</f>
        <v>34.700000000000003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4147999</v>
      </c>
      <c r="D11" s="182">
        <f>ROUND((C11/$C$28)*100,1)</f>
        <v>18.5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465499</v>
      </c>
      <c r="D12" s="182">
        <f>ROUND((C12/$C$28)*100,1)</f>
        <v>2.1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442077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1472878</v>
      </c>
      <c r="D15" s="182">
        <f t="shared" ref="D15:D27" si="0">ROUND((C15/$C$28)*100,1)</f>
        <v>6.6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656927</v>
      </c>
      <c r="D16" s="182">
        <f t="shared" si="0"/>
        <v>2.9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1607158</v>
      </c>
      <c r="D17" s="182">
        <f t="shared" si="0"/>
        <v>7.1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1262351</v>
      </c>
      <c r="D18" s="182">
        <f t="shared" si="0"/>
        <v>5.6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310009</v>
      </c>
      <c r="D19" s="182">
        <f t="shared" si="0"/>
        <v>1.4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2573171</v>
      </c>
      <c r="D20" s="182">
        <f t="shared" si="0"/>
        <v>11.4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1099514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285302</v>
      </c>
      <c r="D25" s="182">
        <f t="shared" si="0"/>
        <v>1.3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19006.2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339666.42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22478872.620000001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22478872.620000001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1581711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11525017</v>
      </c>
      <c r="D35" s="182">
        <f t="shared" ref="D35:D40" si="1">ROUND((C35/$C$41)*100,1)</f>
        <v>47.8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625343.94999999739</v>
      </c>
      <c r="D36" s="182">
        <f t="shared" si="1"/>
        <v>2.6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9312558</v>
      </c>
      <c r="D37" s="182">
        <f t="shared" si="1"/>
        <v>38.6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1179918</v>
      </c>
      <c r="D38" s="182">
        <f t="shared" si="1"/>
        <v>4.9000000000000004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1475801</v>
      </c>
      <c r="D39" s="182">
        <f t="shared" si="1"/>
        <v>6.1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24118637.949999996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7" sqref="C7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Winnisquam Regional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23</v>
      </c>
      <c r="C4" s="285" t="s">
        <v>917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918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2014-08-29T15:02:57Z</cp:lastPrinted>
  <dcterms:created xsi:type="dcterms:W3CDTF">1997-12-04T19:04:30Z</dcterms:created>
  <dcterms:modified xsi:type="dcterms:W3CDTF">2014-12-10T16:09:01Z</dcterms:modified>
</cp:coreProperties>
</file>