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800" windowHeight="118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24" i="1" l="1"/>
  <c r="F31" i="1"/>
  <c r="I612" i="1"/>
  <c r="G612" i="1"/>
  <c r="F612" i="1"/>
  <c r="G367" i="1" l="1"/>
  <c r="F367" i="1"/>
  <c r="I359" i="1"/>
  <c r="I358" i="1"/>
  <c r="G158" i="1"/>
  <c r="F12" i="1" l="1"/>
  <c r="F68" i="1" l="1"/>
  <c r="F13" i="1"/>
  <c r="G521" i="1" l="1"/>
  <c r="F521" i="1"/>
  <c r="G531" i="1"/>
  <c r="F531" i="1"/>
  <c r="G522" i="1"/>
  <c r="F522" i="1"/>
  <c r="F532" i="1"/>
  <c r="H527" i="1"/>
  <c r="H522" i="1"/>
  <c r="H526" i="1"/>
  <c r="H521" i="1"/>
  <c r="B21" i="12" l="1"/>
  <c r="B12" i="12"/>
  <c r="B11" i="12"/>
  <c r="B10" i="12"/>
  <c r="G502" i="1" l="1"/>
  <c r="G499" i="1"/>
  <c r="G498" i="1"/>
  <c r="F502" i="1"/>
  <c r="F499" i="1"/>
  <c r="K204" i="1"/>
  <c r="F469" i="1"/>
  <c r="H226" i="1"/>
  <c r="H208" i="1"/>
  <c r="I604" i="1"/>
  <c r="J472" i="1"/>
  <c r="H472" i="1"/>
  <c r="H468" i="1"/>
  <c r="I468" i="1"/>
  <c r="J468" i="1"/>
  <c r="G459" i="1"/>
  <c r="G442" i="1"/>
  <c r="H451" i="1"/>
  <c r="H439" i="1"/>
  <c r="G429" i="1"/>
  <c r="G368" i="1"/>
  <c r="F368" i="1"/>
  <c r="H359" i="1"/>
  <c r="H358" i="1"/>
  <c r="I197" i="1"/>
  <c r="I202" i="1"/>
  <c r="G203" i="1"/>
  <c r="I48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L199" i="1"/>
  <c r="L200" i="1"/>
  <c r="L215" i="1"/>
  <c r="L216" i="1"/>
  <c r="L217" i="1"/>
  <c r="L218" i="1"/>
  <c r="C112" i="2" s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D19" i="13" s="1"/>
  <c r="C19" i="13" s="1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E111" i="2" s="1"/>
  <c r="L279" i="1"/>
  <c r="L281" i="1"/>
  <c r="L282" i="1"/>
  <c r="L283" i="1"/>
  <c r="E120" i="2" s="1"/>
  <c r="L284" i="1"/>
  <c r="L285" i="1"/>
  <c r="L286" i="1"/>
  <c r="L287" i="1"/>
  <c r="E124" i="2" s="1"/>
  <c r="L288" i="1"/>
  <c r="L295" i="1"/>
  <c r="L296" i="1"/>
  <c r="E110" i="2" s="1"/>
  <c r="L297" i="1"/>
  <c r="L298" i="1"/>
  <c r="E112" i="2" s="1"/>
  <c r="L300" i="1"/>
  <c r="L301" i="1"/>
  <c r="L302" i="1"/>
  <c r="L303" i="1"/>
  <c r="E121" i="2" s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L341" i="1"/>
  <c r="C32" i="10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L250" i="1"/>
  <c r="L332" i="1"/>
  <c r="L254" i="1"/>
  <c r="L268" i="1"/>
  <c r="L269" i="1"/>
  <c r="L349" i="1"/>
  <c r="C26" i="10" s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D115" i="2"/>
  <c r="F115" i="2"/>
  <c r="G115" i="2"/>
  <c r="E119" i="2"/>
  <c r="E123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H408" i="1" s="1"/>
  <c r="H644" i="1" s="1"/>
  <c r="J644" i="1" s="1"/>
  <c r="I407" i="1"/>
  <c r="F408" i="1"/>
  <c r="G408" i="1"/>
  <c r="H645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I446" i="1"/>
  <c r="G642" i="1" s="1"/>
  <c r="F452" i="1"/>
  <c r="G452" i="1"/>
  <c r="H452" i="1"/>
  <c r="F460" i="1"/>
  <c r="G460" i="1"/>
  <c r="H460" i="1"/>
  <c r="I460" i="1"/>
  <c r="F461" i="1"/>
  <c r="G461" i="1"/>
  <c r="H640" i="1" s="1"/>
  <c r="J640" i="1" s="1"/>
  <c r="H461" i="1"/>
  <c r="H641" i="1" s="1"/>
  <c r="H470" i="1"/>
  <c r="I470" i="1"/>
  <c r="I476" i="1" s="1"/>
  <c r="H625" i="1" s="1"/>
  <c r="J470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J545" i="1" s="1"/>
  <c r="K544" i="1"/>
  <c r="L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9" i="1"/>
  <c r="H630" i="1"/>
  <c r="H631" i="1"/>
  <c r="H633" i="1"/>
  <c r="H636" i="1"/>
  <c r="H637" i="1"/>
  <c r="H638" i="1"/>
  <c r="G639" i="1"/>
  <c r="H639" i="1"/>
  <c r="J639" i="1" s="1"/>
  <c r="G643" i="1"/>
  <c r="J643" i="1" s="1"/>
  <c r="H643" i="1"/>
  <c r="G644" i="1"/>
  <c r="G650" i="1"/>
  <c r="G651" i="1"/>
  <c r="G652" i="1"/>
  <c r="H652" i="1"/>
  <c r="G653" i="1"/>
  <c r="H653" i="1"/>
  <c r="G654" i="1"/>
  <c r="H654" i="1"/>
  <c r="H655" i="1"/>
  <c r="J655" i="1" s="1"/>
  <c r="D62" i="2"/>
  <c r="D63" i="2" s="1"/>
  <c r="E103" i="2"/>
  <c r="D91" i="2"/>
  <c r="E78" i="2"/>
  <c r="I169" i="1"/>
  <c r="H169" i="1"/>
  <c r="J140" i="1"/>
  <c r="H140" i="1"/>
  <c r="F22" i="13"/>
  <c r="C22" i="13" s="1"/>
  <c r="H192" i="1"/>
  <c r="L570" i="1"/>
  <c r="G36" i="2"/>
  <c r="D31" i="2" l="1"/>
  <c r="H552" i="1"/>
  <c r="A13" i="12"/>
  <c r="G161" i="2"/>
  <c r="K500" i="1"/>
  <c r="J476" i="1"/>
  <c r="H626" i="1" s="1"/>
  <c r="I461" i="1"/>
  <c r="H642" i="1" s="1"/>
  <c r="J642" i="1" s="1"/>
  <c r="I452" i="1"/>
  <c r="J634" i="1"/>
  <c r="D29" i="13"/>
  <c r="C29" i="13" s="1"/>
  <c r="L362" i="1"/>
  <c r="C110" i="2"/>
  <c r="K605" i="1"/>
  <c r="G648" i="1" s="1"/>
  <c r="K598" i="1"/>
  <c r="G647" i="1" s="1"/>
  <c r="G338" i="1"/>
  <c r="G352" i="1" s="1"/>
  <c r="F338" i="1"/>
  <c r="F352" i="1" s="1"/>
  <c r="L309" i="1"/>
  <c r="H338" i="1"/>
  <c r="H352" i="1" s="1"/>
  <c r="K338" i="1"/>
  <c r="K352" i="1" s="1"/>
  <c r="C11" i="10"/>
  <c r="K545" i="1"/>
  <c r="F552" i="1"/>
  <c r="L524" i="1"/>
  <c r="G545" i="1"/>
  <c r="J552" i="1"/>
  <c r="H545" i="1"/>
  <c r="K550" i="1"/>
  <c r="L534" i="1"/>
  <c r="C125" i="2"/>
  <c r="E13" i="13"/>
  <c r="C13" i="13" s="1"/>
  <c r="G257" i="1"/>
  <c r="G271" i="1" s="1"/>
  <c r="D7" i="13"/>
  <c r="C7" i="13" s="1"/>
  <c r="C16" i="10"/>
  <c r="F257" i="1"/>
  <c r="F271" i="1" s="1"/>
  <c r="C13" i="10"/>
  <c r="A40" i="12"/>
  <c r="H257" i="1"/>
  <c r="H271" i="1" s="1"/>
  <c r="J257" i="1"/>
  <c r="J271" i="1" s="1"/>
  <c r="I257" i="1"/>
  <c r="I271" i="1" s="1"/>
  <c r="D14" i="13"/>
  <c r="C14" i="13" s="1"/>
  <c r="K257" i="1"/>
  <c r="K271" i="1" s="1"/>
  <c r="D5" i="13"/>
  <c r="C5" i="13" s="1"/>
  <c r="L211" i="1"/>
  <c r="G645" i="1"/>
  <c r="J645" i="1" s="1"/>
  <c r="E62" i="2"/>
  <c r="C78" i="2"/>
  <c r="C81" i="2"/>
  <c r="F18" i="2"/>
  <c r="J624" i="1"/>
  <c r="H52" i="1"/>
  <c r="H619" i="1" s="1"/>
  <c r="E31" i="2"/>
  <c r="D50" i="2"/>
  <c r="D51" i="2" s="1"/>
  <c r="D18" i="2"/>
  <c r="J617" i="1"/>
  <c r="H660" i="1"/>
  <c r="E63" i="2"/>
  <c r="E104" i="2" s="1"/>
  <c r="L393" i="1"/>
  <c r="C138" i="2" s="1"/>
  <c r="E130" i="2"/>
  <c r="E144" i="2" s="1"/>
  <c r="C29" i="10"/>
  <c r="C25" i="10"/>
  <c r="H25" i="13"/>
  <c r="E122" i="2"/>
  <c r="E118" i="2"/>
  <c r="L290" i="1"/>
  <c r="E109" i="2"/>
  <c r="E115" i="2" s="1"/>
  <c r="H661" i="1"/>
  <c r="D127" i="2"/>
  <c r="D128" i="2" s="1"/>
  <c r="D145" i="2" s="1"/>
  <c r="C21" i="10"/>
  <c r="H647" i="1"/>
  <c r="F662" i="1"/>
  <c r="I662" i="1" s="1"/>
  <c r="C124" i="2"/>
  <c r="G649" i="1"/>
  <c r="J649" i="1" s="1"/>
  <c r="D15" i="13"/>
  <c r="C15" i="13" s="1"/>
  <c r="C18" i="10"/>
  <c r="D12" i="13"/>
  <c r="C12" i="13" s="1"/>
  <c r="C118" i="2"/>
  <c r="D6" i="13"/>
  <c r="C6" i="13" s="1"/>
  <c r="C15" i="10"/>
  <c r="L247" i="1"/>
  <c r="C12" i="10"/>
  <c r="C111" i="2"/>
  <c r="C115" i="2" s="1"/>
  <c r="C122" i="2"/>
  <c r="C19" i="10"/>
  <c r="C120" i="2"/>
  <c r="E8" i="13"/>
  <c r="C8" i="13" s="1"/>
  <c r="J651" i="1"/>
  <c r="J641" i="1"/>
  <c r="J571" i="1"/>
  <c r="L427" i="1"/>
  <c r="L256" i="1"/>
  <c r="C123" i="2"/>
  <c r="C114" i="2"/>
  <c r="L270" i="1"/>
  <c r="K551" i="1"/>
  <c r="F112" i="1"/>
  <c r="C35" i="10"/>
  <c r="C56" i="2"/>
  <c r="H112" i="1"/>
  <c r="H193" i="1" s="1"/>
  <c r="G629" i="1" s="1"/>
  <c r="J629" i="1" s="1"/>
  <c r="I545" i="1"/>
  <c r="C20" i="10"/>
  <c r="L401" i="1"/>
  <c r="C139" i="2" s="1"/>
  <c r="L351" i="1"/>
  <c r="F661" i="1"/>
  <c r="L229" i="1"/>
  <c r="C10" i="10"/>
  <c r="E16" i="13"/>
  <c r="C17" i="10"/>
  <c r="I52" i="1"/>
  <c r="H620" i="1" s="1"/>
  <c r="J620" i="1" s="1"/>
  <c r="G625" i="1"/>
  <c r="J625" i="1" s="1"/>
  <c r="B164" i="2"/>
  <c r="G164" i="2" s="1"/>
  <c r="K503" i="1"/>
  <c r="G156" i="2"/>
  <c r="E142" i="2"/>
  <c r="C121" i="2"/>
  <c r="C18" i="2"/>
  <c r="C132" i="2"/>
  <c r="I551" i="1"/>
  <c r="I552" i="1" s="1"/>
  <c r="L539" i="1"/>
  <c r="G549" i="1"/>
  <c r="L529" i="1"/>
  <c r="F130" i="2"/>
  <c r="F144" i="2" s="1"/>
  <c r="F145" i="2" s="1"/>
  <c r="G661" i="1"/>
  <c r="G81" i="2"/>
  <c r="C62" i="2"/>
  <c r="C63" i="2" s="1"/>
  <c r="G112" i="1"/>
  <c r="J338" i="1"/>
  <c r="J352" i="1" s="1"/>
  <c r="L382" i="1"/>
  <c r="G636" i="1" s="1"/>
  <c r="J636" i="1" s="1"/>
  <c r="E81" i="2"/>
  <c r="L61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19" i="1"/>
  <c r="D103" i="2"/>
  <c r="D104" i="2" s="1"/>
  <c r="I140" i="1"/>
  <c r="I193" i="1" s="1"/>
  <c r="G630" i="1" s="1"/>
  <c r="J630" i="1" s="1"/>
  <c r="A22" i="12"/>
  <c r="G50" i="2"/>
  <c r="J652" i="1"/>
  <c r="G571" i="1"/>
  <c r="I434" i="1"/>
  <c r="G434" i="1"/>
  <c r="I663" i="1"/>
  <c r="C27" i="10" l="1"/>
  <c r="C28" i="10" s="1"/>
  <c r="D23" i="10" s="1"/>
  <c r="G472" i="1"/>
  <c r="J647" i="1"/>
  <c r="G51" i="2"/>
  <c r="L408" i="1"/>
  <c r="C141" i="2"/>
  <c r="G635" i="1"/>
  <c r="L338" i="1"/>
  <c r="L352" i="1" s="1"/>
  <c r="G633" i="1" s="1"/>
  <c r="J633" i="1" s="1"/>
  <c r="G660" i="1"/>
  <c r="G664" i="1" s="1"/>
  <c r="G667" i="1" s="1"/>
  <c r="L545" i="1"/>
  <c r="F660" i="1"/>
  <c r="F104" i="2"/>
  <c r="I661" i="1"/>
  <c r="C104" i="2"/>
  <c r="F193" i="1"/>
  <c r="C36" i="10"/>
  <c r="E51" i="2"/>
  <c r="D31" i="13"/>
  <c r="C31" i="13" s="1"/>
  <c r="C144" i="2"/>
  <c r="E33" i="13"/>
  <c r="D35" i="13" s="1"/>
  <c r="C16" i="13"/>
  <c r="C128" i="2"/>
  <c r="H648" i="1"/>
  <c r="J648" i="1" s="1"/>
  <c r="G104" i="2"/>
  <c r="E128" i="2"/>
  <c r="E145" i="2" s="1"/>
  <c r="L257" i="1"/>
  <c r="L271" i="1" s="1"/>
  <c r="F472" i="1" s="1"/>
  <c r="G552" i="1"/>
  <c r="K549" i="1"/>
  <c r="K552" i="1" s="1"/>
  <c r="C25" i="13"/>
  <c r="H33" i="13"/>
  <c r="H664" i="1"/>
  <c r="C51" i="2"/>
  <c r="G631" i="1"/>
  <c r="J631" i="1" s="1"/>
  <c r="G193" i="1"/>
  <c r="G626" i="1"/>
  <c r="J626" i="1" s="1"/>
  <c r="J52" i="1"/>
  <c r="H621" i="1" s="1"/>
  <c r="J621" i="1" s="1"/>
  <c r="C38" i="10"/>
  <c r="J635" i="1" l="1"/>
  <c r="H635" i="1"/>
  <c r="G474" i="1"/>
  <c r="G628" i="1"/>
  <c r="G468" i="1"/>
  <c r="G627" i="1"/>
  <c r="F468" i="1"/>
  <c r="G632" i="1"/>
  <c r="G637" i="1"/>
  <c r="J637" i="1" s="1"/>
  <c r="H646" i="1"/>
  <c r="J646" i="1" s="1"/>
  <c r="I660" i="1"/>
  <c r="I664" i="1" s="1"/>
  <c r="I672" i="1" s="1"/>
  <c r="C7" i="10" s="1"/>
  <c r="D33" i="13"/>
  <c r="D36" i="13" s="1"/>
  <c r="G672" i="1"/>
  <c r="C5" i="10" s="1"/>
  <c r="F664" i="1"/>
  <c r="F667" i="1" s="1"/>
  <c r="D13" i="10"/>
  <c r="D21" i="10"/>
  <c r="D18" i="10"/>
  <c r="D26" i="10"/>
  <c r="D16" i="10"/>
  <c r="D15" i="10"/>
  <c r="D19" i="10"/>
  <c r="D11" i="10"/>
  <c r="D22" i="10"/>
  <c r="D27" i="10"/>
  <c r="D17" i="10"/>
  <c r="D24" i="10"/>
  <c r="D12" i="10"/>
  <c r="D10" i="10"/>
  <c r="C30" i="10"/>
  <c r="D20" i="10"/>
  <c r="D25" i="10"/>
  <c r="H667" i="1"/>
  <c r="H672" i="1"/>
  <c r="C6" i="10" s="1"/>
  <c r="C145" i="2"/>
  <c r="C41" i="10"/>
  <c r="D38" i="10" s="1"/>
  <c r="G470" i="1" l="1"/>
  <c r="G476" i="1" s="1"/>
  <c r="H623" i="1" s="1"/>
  <c r="J623" i="1" s="1"/>
  <c r="H628" i="1"/>
  <c r="J628" i="1"/>
  <c r="H627" i="1"/>
  <c r="J627" i="1" s="1"/>
  <c r="F470" i="1"/>
  <c r="H632" i="1"/>
  <c r="J632" i="1" s="1"/>
  <c r="F474" i="1"/>
  <c r="I667" i="1"/>
  <c r="F672" i="1"/>
  <c r="C4" i="10" s="1"/>
  <c r="D28" i="10"/>
  <c r="D37" i="10"/>
  <c r="D36" i="10"/>
  <c r="D35" i="10"/>
  <c r="D40" i="10"/>
  <c r="D39" i="10"/>
  <c r="F476" i="1" l="1"/>
  <c r="H622" i="1" s="1"/>
  <c r="J622" i="1" s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<sst xmlns="http://schemas.openxmlformats.org/spreadsheetml/2006/main" count="3961" uniqueCount="918">
  <si>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</si>
  <si>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</si>
  <si>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</si>
  <si>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</si>
  <si>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</si>
  <si>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</si>
  <si>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</si>
  <si>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</si>
  <si>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</si>
  <si>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</si>
  <si>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</si>
  <si>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</si>
  <si>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</si>
  <si>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</si>
  <si>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</si>
  <si>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</si>
  <si>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</si>
  <si>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</si>
  <si>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</si>
  <si>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</si>
  <si>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</si>
  <si>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</si>
  <si>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</si>
  <si>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</si>
  <si>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</si>
  <si>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</si>
  <si>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</si>
  <si>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</si>
  <si>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</si>
  <si>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</si>
  <si>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</si>
  <si>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</si>
  <si>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</si>
  <si>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</si>
  <si>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</si>
  <si>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</si>
  <si>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</si>
  <si>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</si>
  <si>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</si>
  <si>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</si>
  <si>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</si>
  <si>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</si>
  <si>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</si>
  <si>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</si>
  <si>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</si>
  <si>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</si>
  <si>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</si>
  <si>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</si>
  <si>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</si>
  <si>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</si>
  <si>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</si>
  <si>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</si>
  <si>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</si>
  <si>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</si>
  <si>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</si>
  <si>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</si>
  <si>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</si>
  <si>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</si>
  <si>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</si>
  <si>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</si>
  <si>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</si>
  <si>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</si>
  <si>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</si>
  <si>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</si>
  <si>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</si>
  <si>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</si>
  <si>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</si>
  <si>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</si>
  <si>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</si>
  <si>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</si>
  <si>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</si>
  <si>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</si>
  <si>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</si>
  <si>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</si>
  <si>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</si>
  <si>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</si>
  <si>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</si>
  <si>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</si>
  <si>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</si>
  <si>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</si>
  <si>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</si>
  <si>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</si>
  <si>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</si>
  <si>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</si>
  <si>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</si>
  <si>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</si>
  <si>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</si>
  <si>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</si>
  <si>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</si>
  <si>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</si>
  <si>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</si>
  <si>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</si>
  <si>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</si>
  <si>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</si>
  <si>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</si>
  <si>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</si>
  <si>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</si>
  <si>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</si>
  <si>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</si>
  <si>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</si>
  <si>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</si>
  <si>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</si>
  <si>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</si>
  <si>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</si>
  <si>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</si>
  <si>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</si>
  <si>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</si>
  <si>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</si>
  <si>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</si>
  <si>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</si>
  <si>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</si>
  <si>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</si>
  <si>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</si>
  <si>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</si>
  <si>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</si>
  <si>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</si>
  <si>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</si>
  <si>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</si>
  <si>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</si>
  <si>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</si>
  <si>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</si>
  <si>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</si>
  <si>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</si>
  <si>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</si>
  <si>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</si>
  <si>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</si>
  <si>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</si>
  <si>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</si>
  <si>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</si>
  <si>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</si>
  <si>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</si>
  <si>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</si>
  <si>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</si>
  <si>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</si>
  <si>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</si>
  <si>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</si>
  <si>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</si>
  <si>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</si>
  <si>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</si>
  <si>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</si>
  <si>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</si>
  <si>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</si>
  <si>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</si>
  <si>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</si>
  <si>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</si>
  <si>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</si>
  <si>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</si>
  <si>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</si>
  <si>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</si>
  <si>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</si>
  <si>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</si>
  <si>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</si>
  <si>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</si>
  <si>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</si>
  <si>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</si>
  <si>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</si>
  <si>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</si>
  <si>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</si>
  <si>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</si>
  <si>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</si>
  <si>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</si>
  <si>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</si>
  <si>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</si>
  <si>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</si>
  <si>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</si>
  <si>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</si>
  <si>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</si>
  <si>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</si>
  <si>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</si>
  <si>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</si>
  <si>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</si>
  <si>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</si>
  <si>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</si>
  <si>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</si>
  <si>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</si>
  <si>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</si>
  <si>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</si>
  <si>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</si>
  <si>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</si>
  <si>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</si>
  <si>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</si>
  <si>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</si>
  <si>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</si>
  <si>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</si>
  <si>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</si>
  <si>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</si>
  <si>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</si>
  <si>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</si>
  <si>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</si>
  <si>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</si>
  <si>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</si>
  <si>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</si>
  <si>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</si>
  <si>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</si>
  <si>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</si>
  <si>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</si>
  <si>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</si>
  <si>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</si>
  <si>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</si>
  <si>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</si>
  <si>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</si>
  <si>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</si>
  <si>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</si>
  <si>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</si>
  <si>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</si>
  <si>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</si>
  <si>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</si>
  <si>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</si>
  <si>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</si>
  <si>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</si>
  <si>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</si>
  <si>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</si>
  <si>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</si>
  <si>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</si>
  <si>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</si>
  <si>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</si>
  <si>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</si>
  <si>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</si>
  <si>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</si>
  <si>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</si>
  <si>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</si>
  <si>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</si>
  <si>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</si>
  <si>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</si>
  <si>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</si>
  <si>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</si>
  <si>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</si>
  <si>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</si>
  <si>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</si>
  <si>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</si>
  <si>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</si>
  <si>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</si>
  <si>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</si>
  <si>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</si>
  <si>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</si>
  <si>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</si>
  <si>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</si>
  <si>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</si>
  <si>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</si>
  <si>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</si>
  <si>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</si>
  <si>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</si>
  <si>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</si>
  <si>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</si>
  <si>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</si>
  <si>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</si>
  <si>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</si>
  <si>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</si>
  <si>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</si>
  <si>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</si>
  <si>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</si>
  <si>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</si>
  <si>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</si>
  <si>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</si>
  <si>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</si>
  <si>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</si>
  <si>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</si>
  <si>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</si>
  <si>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</si>
  <si>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</si>
  <si>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</si>
  <si>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</si>
  <si>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</si>
  <si>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</si>
  <si>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</si>
  <si>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</si>
  <si>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</si>
  <si>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</si>
  <si>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</si>
  <si>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</si>
  <si>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</si>
  <si>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</si>
  <si>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</si>
  <si>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</si>
  <si>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</si>
  <si>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</si>
  <si>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</si>
  <si>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</si>
  <si>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</si>
  <si>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</si>
  <si>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</si>
  <si>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</si>
  <si>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</si>
  <si>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</si>
  <si>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</si>
  <si>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</si>
  <si>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</si>
  <si>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</si>
  <si>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</si>
  <si>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</si>
  <si>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</si>
  <si>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</si>
  <si>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</si>
  <si>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</si>
  <si>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</si>
  <si>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</si>
  <si>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</si>
  <si>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</si>
  <si>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</si>
  <si>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</si>
  <si>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</si>
  <si>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</si>
  <si>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</si>
  <si>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</si>
  <si>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</si>
  <si>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</si>
  <si>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</si>
  <si>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</si>
  <si>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</si>
  <si>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</si>
  <si>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</si>
  <si>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</si>
  <si>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</si>
  <si>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</si>
  <si>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</si>
  <si>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</si>
  <si>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</si>
  <si>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</si>
  <si>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</si>
  <si>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</si>
  <si>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</si>
  <si>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</si>
  <si>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</si>
  <si>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</si>
  <si>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</si>
  <si>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</si>
  <si>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</si>
  <si>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</si>
  <si>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</si>
  <si>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</si>
  <si>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</si>
  <si>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</si>
  <si>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</si>
  <si>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</si>
  <si>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</si>
  <si>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</si>
  <si>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</si>
  <si>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</si>
  <si>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</si>
  <si>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</si>
  <si>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</si>
  <si>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</si>
  <si>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</si>
  <si>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</si>
  <si>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</si>
  <si>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</si>
  <si>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</si>
  <si>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</si>
  <si>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</si>
  <si>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</si>
  <si>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</si>
  <si>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</si>
  <si>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</si>
  <si>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</si>
  <si>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</si>
  <si>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</si>
  <si>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</si>
  <si>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</si>
  <si>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</si>
  <si>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</si>
  <si>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</si>
  <si>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</si>
  <si>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</si>
  <si>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</si>
  <si>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</si>
  <si>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</si>
  <si>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</si>
  <si>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</si>
  <si>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</si>
  <si>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</si>
  <si>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</si>
  <si>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</si>
  <si>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</si>
  <si>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</si>
  <si>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</si>
  <si>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</si>
  <si>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</si>
  <si>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</si>
  <si>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</si>
  <si>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</si>
  <si>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</si>
  <si>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</si>
  <si>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</si>
  <si>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</si>
  <si>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</si>
  <si>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</si>
  <si>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</si>
  <si>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</si>
  <si>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</si>
  <si>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</si>
  <si>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</si>
  <si>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</si>
  <si>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</si>
  <si>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</si>
  <si>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</si>
  <si>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</si>
  <si>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</si>
  <si>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</si>
  <si>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</si>
  <si>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</si>
  <si>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</si>
  <si>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</si>
  <si>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</si>
  <si>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</si>
  <si>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</si>
  <si>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</si>
  <si>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</si>
  <si>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</si>
  <si>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</si>
  <si>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</si>
  <si>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</si>
  <si>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</si>
  <si>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</si>
  <si>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</si>
  <si>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</si>
  <si>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</si>
  <si>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</si>
  <si>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</si>
  <si>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</si>
  <si>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</si>
  <si>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</si>
  <si>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</si>
  <si>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</si>
  <si>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</si>
  <si>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</si>
  <si>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</si>
  <si>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</si>
  <si>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</si>
  <si>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</si>
  <si>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</si>
  <si>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</si>
  <si>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</si>
  <si>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</si>
  <si>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</si>
  <si>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</si>
  <si>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</si>
  <si>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</si>
  <si>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</si>
  <si>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</si>
  <si>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</si>
  <si>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</si>
  <si>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</si>
  <si>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</si>
  <si>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</si>
  <si>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</si>
  <si>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</si>
  <si>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</si>
  <si>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</si>
  <si>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</si>
  <si>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</si>
  <si>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</si>
  <si>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</si>
  <si>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</si>
  <si>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</si>
  <si>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</si>
  <si>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</si>
  <si>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</si>
  <si>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</si>
  <si>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</si>
  <si>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</si>
  <si>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</si>
  <si>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</si>
  <si>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</si>
  <si>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</si>
  <si>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</si>
  <si>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</si>
  <si>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</si>
  <si>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</si>
  <si>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</si>
  <si>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</si>
  <si>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</si>
  <si>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</si>
  <si>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</si>
  <si>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</si>
  <si>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</si>
  <si>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</si>
  <si>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</si>
  <si>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</si>
  <si>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</si>
  <si>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</si>
  <si>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</si>
  <si>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</si>
  <si>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</si>
  <si>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</si>
  <si>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</si>
  <si>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</si>
  <si>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</si>
  <si>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</si>
  <si>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</si>
  <si>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</si>
  <si>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</si>
  <si>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</si>
  <si>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</si>
  <si>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</si>
  <si>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</si>
  <si>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</si>
  <si>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</si>
  <si>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</si>
  <si>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</si>
  <si>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</si>
  <si>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</si>
  <si>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</si>
  <si>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</si>
  <si>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</si>
  <si>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</si>
  <si>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</si>
  <si>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</si>
  <si>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</si>
  <si>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</si>
  <si>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</si>
  <si>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</si>
  <si>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</si>
  <si>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</si>
  <si>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</si>
  <si>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</si>
  <si>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</si>
  <si>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</si>
  <si>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</si>
  <si>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</si>
  <si>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</si>
  <si>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</si>
  <si>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</si>
  <si>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</si>
  <si>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</si>
  <si>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</si>
  <si>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</si>
  <si>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</si>
  <si>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</si>
  <si>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</si>
  <si>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</si>
  <si>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</si>
  <si>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</si>
  <si>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</si>
  <si>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</si>
  <si>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</si>
  <si>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</si>
  <si>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</si>
  <si>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</si>
  <si>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</si>
  <si>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</si>
  <si>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</si>
  <si>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</si>
  <si>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</si>
  <si>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</si>
  <si>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</si>
  <si>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</si>
  <si>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</si>
  <si>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</si>
  <si>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</si>
  <si>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</si>
  <si>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</si>
  <si>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</si>
  <si>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</si>
  <si>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</si>
  <si>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</si>
  <si>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</si>
  <si>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</si>
  <si>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</si>
  <si>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</si>
  <si>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</si>
  <si>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</si>
  <si>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</si>
  <si>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</si>
  <si>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</si>
  <si>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</si>
  <si>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</si>
  <si>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</si>
  <si>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</si>
  <si>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</si>
  <si>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</si>
  <si>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</si>
  <si>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</si>
  <si>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</si>
  <si>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</si>
  <si>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</si>
  <si>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</si>
  <si>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</si>
  <si>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</si>
  <si>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</si>
  <si>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</si>
  <si>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</si>
  <si>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</si>
  <si>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</si>
  <si>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</si>
  <si>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</si>
  <si>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</si>
  <si>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</si>
  <si>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</si>
  <si>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</si>
  <si>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</si>
  <si>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</si>
  <si>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</si>
  <si>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</si>
  <si>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</si>
  <si>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</si>
  <si>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</si>
  <si>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</si>
  <si>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</si>
  <si>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</si>
  <si>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</si>
  <si>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</si>
  <si>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</si>
  <si>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</si>
  <si>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</si>
  <si>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</si>
  <si>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</si>
  <si>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</si>
  <si>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</si>
  <si>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</si>
  <si>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</si>
  <si>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</si>
  <si>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</si>
  <si>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</si>
  <si>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</si>
  <si>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</si>
  <si>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</si>
  <si>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</si>
  <si>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</si>
  <si>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</si>
  <si>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</si>
  <si>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</si>
  <si>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</si>
  <si>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</si>
  <si>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</si>
  <si>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</si>
  <si>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</si>
  <si>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</si>
  <si>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</si>
  <si>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</si>
  <si>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</si>
  <si>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</si>
  <si>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</si>
  <si>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</si>
  <si>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</si>
  <si>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</si>
  <si>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</si>
  <si>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</si>
  <si>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</si>
  <si>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</si>
  <si>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</si>
  <si>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</si>
  <si>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</si>
  <si>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</si>
  <si>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</si>
  <si>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</si>
  <si>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</si>
  <si>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</si>
  <si>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</si>
  <si>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</si>
  <si>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</si>
  <si>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</si>
  <si>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</si>
  <si>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</si>
  <si>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</si>
  <si>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</si>
  <si>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</si>
  <si>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</si>
  <si>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</si>
  <si>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</si>
  <si>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</si>
  <si>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</si>
  <si>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</si>
  <si>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</si>
  <si>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</si>
  <si>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</si>
  <si>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</si>
  <si>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</si>
  <si>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</si>
  <si>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</si>
  <si>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</si>
  <si>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</si>
  <si>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</si>
  <si>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</si>
  <si>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</si>
  <si>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</si>
  <si>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</si>
  <si>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</si>
  <si>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</si>
  <si>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</si>
  <si>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</si>
  <si>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</si>
  <si>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</si>
  <si>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</si>
  <si>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</si>
  <si>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</si>
  <si>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</si>
  <si>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</si>
  <si>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</si>
  <si>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</si>
  <si>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</si>
  <si>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</si>
  <si>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</si>
  <si>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</si>
  <si>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</si>
  <si>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</si>
  <si>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</si>
  <si>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</si>
  <si>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</si>
  <si>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</si>
  <si>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</si>
  <si>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</si>
  <si>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</si>
  <si>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</si>
  <si>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</si>
  <si>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</si>
  <si>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</si>
  <si>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</si>
  <si>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</si>
  <si>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</si>
  <si>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</si>
  <si>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</si>
  <si>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</si>
  <si>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</si>
  <si>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</si>
  <si>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</si>
  <si>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</si>
  <si>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</si>
  <si>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</si>
  <si>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</si>
  <si>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</si>
  <si>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</si>
  <si>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</si>
  <si>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</si>
  <si>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</si>
  <si>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</si>
  <si>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</si>
  <si>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</si>
  <si>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</si>
  <si>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</si>
  <si>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</si>
  <si>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</si>
  <si>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</si>
  <si>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</si>
  <si>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</si>
  <si>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</si>
  <si>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</si>
  <si>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</si>
  <si>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</si>
  <si>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</si>
  <si>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</si>
  <si>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</si>
  <si>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</si>
  <si>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</si>
  <si>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</si>
  <si>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</si>
  <si>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</si>
  <si>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</si>
  <si>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</si>
  <si>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</si>
  <si>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</si>
  <si>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</si>
  <si>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</si>
  <si>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</si>
  <si>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</si>
  <si>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</si>
  <si>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</si>
  <si>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</si>
  <si>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</si>
  <si>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</si>
  <si>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</si>
  <si>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</si>
  <si>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</si>
  <si>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</si>
  <si>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</si>
  <si>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</si>
  <si>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</si>
  <si>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</si>
  <si>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</si>
  <si>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</si>
  <si>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</si>
  <si>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</si>
  <si>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</si>
  <si>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</si>
  <si>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</si>
  <si>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</si>
  <si>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</si>
  <si>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</si>
  <si>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</si>
  <si>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</si>
  <si>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</si>
  <si>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</si>
  <si>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</si>
  <si>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</si>
  <si>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</si>
  <si>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</si>
  <si>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</si>
  <si>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</si>
  <si>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</si>
  <si>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</si>
  <si>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</si>
  <si>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</si>
  <si>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</si>
  <si>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</si>
  <si>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</si>
  <si>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</si>
  <si>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</si>
  <si>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</si>
  <si>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</si>
  <si>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</si>
  <si>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</si>
  <si>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</si>
  <si>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</si>
  <si>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</si>
  <si>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</si>
  <si>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</si>
  <si>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</si>
  <si>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</si>
  <si>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</si>
  <si>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</si>
  <si>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</si>
  <si>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</si>
  <si>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</si>
  <si>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</si>
  <si>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</si>
  <si>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</si>
  <si>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</si>
  <si>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</si>
  <si>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</si>
  <si>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</si>
  <si>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</si>
  <si>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</si>
  <si>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</si>
  <si>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</si>
  <si>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</si>
  <si>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</si>
  <si>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</si>
  <si>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</si>
  <si>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</si>
  <si>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</si>
  <si>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</si>
  <si>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</si>
  <si>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</si>
  <si>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</si>
  <si>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</si>
  <si>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</si>
  <si>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</si>
  <si>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</si>
  <si>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</si>
  <si>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</si>
  <si>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</si>
  <si>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</si>
  <si>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</si>
  <si>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</si>
  <si>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</si>
  <si>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</si>
  <si>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</si>
  <si>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</si>
  <si>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</si>
  <si>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</si>
  <si>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</si>
  <si>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</si>
  <si>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</si>
  <si>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</si>
  <si>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</si>
  <si>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</si>
  <si>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</si>
  <si>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</si>
  <si>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</si>
  <si>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</si>
  <si>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</si>
  <si>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</si>
  <si>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</si>
  <si>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</si>
  <si>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</si>
  <si>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</si>
  <si>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</si>
  <si>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</si>
  <si>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</si>
  <si>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</si>
  <si>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</si>
  <si>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</si>
  <si>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</si>
  <si>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</si>
  <si>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</si>
  <si>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</si>
  <si>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</si>
  <si>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</si>
  <si>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</si>
  <si>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</si>
  <si>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</si>
  <si>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</si>
  <si>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</si>
  <si>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</si>
  <si>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</si>
  <si>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</si>
  <si>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</si>
  <si>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</si>
  <si>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</si>
  <si>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</si>
  <si>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</si>
  <si>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</si>
  <si>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</si>
  <si>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</si>
  <si>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</si>
  <si>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</si>
  <si>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</si>
  <si>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</si>
  <si>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</si>
  <si>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</si>
  <si>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</si>
  <si>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</si>
  <si>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</si>
  <si>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</si>
  <si>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</si>
  <si>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</si>
  <si>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</si>
  <si>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</si>
  <si>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</si>
  <si>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</si>
  <si>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</si>
  <si>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</si>
  <si>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Amherst School District</t>
  </si>
  <si>
    <t>Agency Funds</t>
  </si>
  <si>
    <t>Prior year (FY14) Audit Adjustment</t>
  </si>
  <si>
    <t>12/11</t>
  </si>
  <si>
    <t>7/21</t>
  </si>
  <si>
    <t>07/08</t>
  </si>
  <si>
    <t>08/28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</si>
</sst>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603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17</v>
      </c>
      <c r="C2" s="21">
        <v>17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-597011.68999999994</v>
      </c>
      <c r="G9" s="18">
        <v>0</v>
      </c>
      <c r="H9" s="18">
        <v>0</v>
      </c>
      <c r="I9" s="18">
        <v>30.97</v>
      </c>
      <c r="J9" s="67">
        <f>SUM(I439)</f>
        <v>71525.460000000006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1199849.27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179196.68-52542.25</f>
        <v>126654.43</v>
      </c>
      <c r="G12" s="18">
        <v>11540.26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11956.8+450734.12-9682.81</f>
        <v>453008.11</v>
      </c>
      <c r="G13" s="18">
        <v>8687.9699999999993</v>
      </c>
      <c r="H13" s="18">
        <v>97862.6</v>
      </c>
      <c r="I13" s="18">
        <v>0</v>
      </c>
      <c r="J13" s="67">
        <f>SUM(I442)</f>
        <v>147558.04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2443.2800000000002</v>
      </c>
      <c r="G14" s="18">
        <v>12.83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5700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1190643.4000000001</v>
      </c>
      <c r="G19" s="41">
        <f>SUM(G9:G18)</f>
        <v>20241.060000000001</v>
      </c>
      <c r="H19" s="41">
        <f>SUM(H9:H18)</f>
        <v>97862.6</v>
      </c>
      <c r="I19" s="41">
        <f>SUM(I9:I18)</f>
        <v>30.97</v>
      </c>
      <c r="J19" s="41">
        <f>SUM(J9:J18)</f>
        <v>219083.5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40366.050000000003</v>
      </c>
      <c r="G22" s="18"/>
      <c r="H22" s="18">
        <v>97657.600000000006</v>
      </c>
      <c r="I22" s="18">
        <v>0</v>
      </c>
      <c r="J22" s="67">
        <f>SUM(I448)</f>
        <v>171.04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635.70000000000005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519.25+25.75</f>
        <v>545</v>
      </c>
      <c r="G24" s="18">
        <v>1824.2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3178.65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17882.939999999999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2990</v>
      </c>
      <c r="G30" s="18">
        <v>17781.16</v>
      </c>
      <c r="H30" s="18">
        <v>205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f>142787.89+71.45</f>
        <v>142859.34000000003</v>
      </c>
      <c r="G31" s="18">
        <v>0</v>
      </c>
      <c r="H31" s="18">
        <v>0</v>
      </c>
      <c r="I31" s="18">
        <v>0</v>
      </c>
      <c r="J31" s="67">
        <f>SUM(I451)</f>
        <v>71525.460000000006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207821.98000000004</v>
      </c>
      <c r="G32" s="41">
        <f>SUM(G22:G31)</f>
        <v>20241.060000000001</v>
      </c>
      <c r="H32" s="41">
        <f>SUM(H22:H31)</f>
        <v>97862.6</v>
      </c>
      <c r="I32" s="41">
        <f>SUM(I22:I31)</f>
        <v>0</v>
      </c>
      <c r="J32" s="41">
        <f>SUM(J22:J31)</f>
        <v>71696.5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0</v>
      </c>
      <c r="I48" s="18">
        <f>30.94+0.03</f>
        <v>30.970000000000002</v>
      </c>
      <c r="J48" s="13">
        <f>SUM(I459)</f>
        <v>147387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39869.91+1045614.07-40437.5-9682.81-52542.25-50000</f>
        <v>932821.41999999993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982821.41999999993</v>
      </c>
      <c r="G51" s="41">
        <f>SUM(G35:G50)</f>
        <v>0</v>
      </c>
      <c r="H51" s="41">
        <f>SUM(H35:H50)</f>
        <v>0</v>
      </c>
      <c r="I51" s="41">
        <f>SUM(I35:I50)</f>
        <v>30.970000000000002</v>
      </c>
      <c r="J51" s="41">
        <f>SUM(J35:J50)</f>
        <v>147387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1190643.3999999999</v>
      </c>
      <c r="G52" s="41">
        <f>G51+G32</f>
        <v>20241.060000000001</v>
      </c>
      <c r="H52" s="41">
        <f>H51+H32</f>
        <v>97862.6</v>
      </c>
      <c r="I52" s="41">
        <f>I51+I32</f>
        <v>30.970000000000002</v>
      </c>
      <c r="J52" s="41">
        <f>J51+J32</f>
        <v>219083.5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16490966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16490966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39751.03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360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1217332.38-9682.81</f>
        <v>1207649.5699999998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1247760.5999999999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10502.98</v>
      </c>
      <c r="G96" s="18"/>
      <c r="H96" s="18"/>
      <c r="I96" s="18">
        <v>0.03</v>
      </c>
      <c r="J96" s="18">
        <v>183.71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298070.83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18255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4830.6899999999996</v>
      </c>
      <c r="G101" s="18">
        <v>0</v>
      </c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1000</v>
      </c>
      <c r="G102" s="18"/>
      <c r="H102" s="18">
        <v>14999.04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105596.96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16801.939999999999</v>
      </c>
      <c r="G109" s="18">
        <v>0</v>
      </c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2030.6</v>
      </c>
      <c r="G110" s="18">
        <v>751.32</v>
      </c>
      <c r="H110" s="18"/>
      <c r="I110" s="18"/>
      <c r="J110" s="18">
        <v>2743.04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159018.17000000001</v>
      </c>
      <c r="G111" s="41">
        <f>SUM(G96:G110)</f>
        <v>298822.15000000002</v>
      </c>
      <c r="H111" s="41">
        <f>SUM(H96:H110)</f>
        <v>14999.04</v>
      </c>
      <c r="I111" s="41">
        <f>SUM(I96:I110)</f>
        <v>0.03</v>
      </c>
      <c r="J111" s="41">
        <f>SUM(J96:J110)</f>
        <v>2926.75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17897744.770000003</v>
      </c>
      <c r="G112" s="41">
        <f>G60+G111</f>
        <v>298822.15000000002</v>
      </c>
      <c r="H112" s="41">
        <f>H60+H79+H94+H111</f>
        <v>14999.04</v>
      </c>
      <c r="I112" s="41">
        <f>I60+I111</f>
        <v>0.03</v>
      </c>
      <c r="J112" s="41">
        <f>J60+J111</f>
        <v>2926.75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2052230.46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2398843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4451073.46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145415.70000000001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287471.34999999998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4068.34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432887.05</v>
      </c>
      <c r="G136" s="41">
        <f>SUM(G123:G135)</f>
        <v>4068.34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4883960.51</v>
      </c>
      <c r="G140" s="41">
        <f>G121+SUM(G136:G137)</f>
        <v>4068.34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12749.69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79289.009999999995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46696.36+21296.51</f>
        <v>67992.87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239406.67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264689.03999999998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264689.03999999998</v>
      </c>
      <c r="G162" s="41">
        <f>SUM(G150:G161)</f>
        <v>67992.87</v>
      </c>
      <c r="H162" s="41">
        <f>SUM(H150:H161)</f>
        <v>331445.37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264689.03999999998</v>
      </c>
      <c r="G169" s="41">
        <f>G147+G162+SUM(G163:G168)</f>
        <v>67992.87</v>
      </c>
      <c r="H169" s="41">
        <f>H147+H162+SUM(H163:H168)</f>
        <v>331445.37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52542.25</v>
      </c>
      <c r="H179" s="18"/>
      <c r="I179" s="18">
        <v>0</v>
      </c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52542.25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52542.25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23046394.32</v>
      </c>
      <c r="G193" s="47">
        <f>G112+G140+G169+G192</f>
        <v>423425.61000000004</v>
      </c>
      <c r="H193" s="47">
        <f>H112+H140+H169+H192</f>
        <v>346444.41</v>
      </c>
      <c r="I193" s="47">
        <f>I112+I140+I169+I192</f>
        <v>0.03</v>
      </c>
      <c r="J193" s="47">
        <f>J112+J140+J192</f>
        <v>52926.75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3029926.74</v>
      </c>
      <c r="G197" s="18">
        <v>1340711.24</v>
      </c>
      <c r="H197" s="18">
        <v>19219.77</v>
      </c>
      <c r="I197" s="18">
        <f>152043.2-43.81</f>
        <v>151999.39000000001</v>
      </c>
      <c r="J197" s="18">
        <v>101356.43</v>
      </c>
      <c r="K197" s="18">
        <v>0</v>
      </c>
      <c r="L197" s="19">
        <f>SUM(F197:K197)</f>
        <v>4643213.5699999994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1057728.0900000001</v>
      </c>
      <c r="G198" s="18">
        <v>663030.18999999994</v>
      </c>
      <c r="H198" s="18">
        <v>143101.63</v>
      </c>
      <c r="I198" s="18">
        <v>8371.25</v>
      </c>
      <c r="J198" s="18">
        <v>1071.51</v>
      </c>
      <c r="K198" s="18">
        <v>0</v>
      </c>
      <c r="L198" s="19">
        <f>SUM(F198:K198)</f>
        <v>1873302.6700000002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6467.5</v>
      </c>
      <c r="G200" s="18">
        <v>1267.5899999999999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7735.09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816420.21</v>
      </c>
      <c r="G202" s="18">
        <v>388897.37</v>
      </c>
      <c r="H202" s="18">
        <v>399807.18</v>
      </c>
      <c r="I202" s="18">
        <f>15301.98</f>
        <v>15301.98</v>
      </c>
      <c r="J202" s="18">
        <v>0</v>
      </c>
      <c r="K202" s="18">
        <v>0</v>
      </c>
      <c r="L202" s="19">
        <f t="shared" ref="L202:L208" si="0">SUM(F202:K202)</f>
        <v>1620426.74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120324.59</v>
      </c>
      <c r="G203" s="18">
        <f>79552.06+55.65</f>
        <v>79607.709999999992</v>
      </c>
      <c r="H203" s="18">
        <v>2290</v>
      </c>
      <c r="I203" s="18">
        <v>14166.36</v>
      </c>
      <c r="J203" s="18">
        <v>749.98</v>
      </c>
      <c r="K203" s="18">
        <v>0</v>
      </c>
      <c r="L203" s="19">
        <f t="shared" si="0"/>
        <v>217138.63999999998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4396.4799999999996</v>
      </c>
      <c r="G204" s="18">
        <v>370.19</v>
      </c>
      <c r="H204" s="18">
        <v>620909.13</v>
      </c>
      <c r="I204" s="18">
        <v>160.74</v>
      </c>
      <c r="J204" s="18">
        <v>0</v>
      </c>
      <c r="K204" s="18">
        <f>2674.37+420.85</f>
        <v>3095.22</v>
      </c>
      <c r="L204" s="19">
        <f t="shared" si="0"/>
        <v>628931.76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392280.31</v>
      </c>
      <c r="G205" s="18">
        <v>206272.93</v>
      </c>
      <c r="H205" s="18">
        <v>15186.7</v>
      </c>
      <c r="I205" s="18">
        <v>9839.7000000000007</v>
      </c>
      <c r="J205" s="18">
        <v>55468.37</v>
      </c>
      <c r="K205" s="18">
        <v>1530</v>
      </c>
      <c r="L205" s="19">
        <f t="shared" si="0"/>
        <v>680578.00999999989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100</v>
      </c>
      <c r="I206" s="18">
        <v>0</v>
      </c>
      <c r="J206" s="18">
        <v>0</v>
      </c>
      <c r="K206" s="18">
        <v>0</v>
      </c>
      <c r="L206" s="19">
        <f t="shared" si="0"/>
        <v>100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218341.07</v>
      </c>
      <c r="G207" s="18">
        <v>120481.85</v>
      </c>
      <c r="H207" s="18">
        <v>176994.74</v>
      </c>
      <c r="I207" s="18">
        <v>173556.98</v>
      </c>
      <c r="J207" s="18">
        <v>1135</v>
      </c>
      <c r="K207" s="18">
        <v>0</v>
      </c>
      <c r="L207" s="19">
        <f t="shared" si="0"/>
        <v>690509.64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f>340239.57+202995.96+867.25</f>
        <v>544102.78</v>
      </c>
      <c r="I208" s="18">
        <v>0</v>
      </c>
      <c r="J208" s="18">
        <v>0</v>
      </c>
      <c r="K208" s="18">
        <v>0</v>
      </c>
      <c r="L208" s="19">
        <f t="shared" si="0"/>
        <v>544102.78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62538</v>
      </c>
      <c r="G209" s="18">
        <v>36139.56</v>
      </c>
      <c r="H209" s="18">
        <v>26109.22</v>
      </c>
      <c r="I209" s="18">
        <v>11206.04</v>
      </c>
      <c r="J209" s="18">
        <v>19711.7</v>
      </c>
      <c r="K209" s="18">
        <v>0</v>
      </c>
      <c r="L209" s="19">
        <f>SUM(F209:K209)</f>
        <v>155704.52000000002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5708422.9900000002</v>
      </c>
      <c r="G211" s="41">
        <f t="shared" si="1"/>
        <v>2836778.6300000004</v>
      </c>
      <c r="H211" s="41">
        <f t="shared" si="1"/>
        <v>1947821.15</v>
      </c>
      <c r="I211" s="41">
        <f t="shared" si="1"/>
        <v>384602.44</v>
      </c>
      <c r="J211" s="41">
        <f t="shared" si="1"/>
        <v>179492.99</v>
      </c>
      <c r="K211" s="41">
        <f t="shared" si="1"/>
        <v>4625.2199999999993</v>
      </c>
      <c r="L211" s="41">
        <f t="shared" si="1"/>
        <v>11061743.419999998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3657582.73</v>
      </c>
      <c r="G215" s="18">
        <v>1481114</v>
      </c>
      <c r="H215" s="18">
        <v>7541.6</v>
      </c>
      <c r="I215" s="18">
        <v>120371.01</v>
      </c>
      <c r="J215" s="18">
        <v>170764.19</v>
      </c>
      <c r="K215" s="18">
        <v>110</v>
      </c>
      <c r="L215" s="19">
        <f>SUM(F215:K215)</f>
        <v>5437483.5300000003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1242160.6000000001</v>
      </c>
      <c r="G216" s="18">
        <v>794497.65</v>
      </c>
      <c r="H216" s="18">
        <v>3755.13</v>
      </c>
      <c r="I216" s="18">
        <v>3274.2</v>
      </c>
      <c r="J216" s="18">
        <v>1325.61</v>
      </c>
      <c r="K216" s="18">
        <v>0</v>
      </c>
      <c r="L216" s="19">
        <f>SUM(F216:K216)</f>
        <v>2045013.19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95996</v>
      </c>
      <c r="G218" s="18">
        <v>16161</v>
      </c>
      <c r="H218" s="18">
        <v>7974.34</v>
      </c>
      <c r="I218" s="18">
        <v>13667.51</v>
      </c>
      <c r="J218" s="18">
        <v>3629.44</v>
      </c>
      <c r="K218" s="18">
        <v>720</v>
      </c>
      <c r="L218" s="19">
        <f>SUM(F218:K218)</f>
        <v>138148.29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606135.57999999996</v>
      </c>
      <c r="G220" s="18">
        <v>291152.05</v>
      </c>
      <c r="H220" s="18">
        <v>172553.21</v>
      </c>
      <c r="I220" s="18">
        <v>8987.5499999999993</v>
      </c>
      <c r="J220" s="18">
        <v>0</v>
      </c>
      <c r="K220" s="18">
        <v>0</v>
      </c>
      <c r="L220" s="19">
        <f t="shared" ref="L220:L226" si="2">SUM(F220:K220)</f>
        <v>1078828.3899999999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112216.95</v>
      </c>
      <c r="G221" s="18">
        <v>97594.49</v>
      </c>
      <c r="H221" s="18">
        <v>6763.68</v>
      </c>
      <c r="I221" s="18">
        <v>11600.55</v>
      </c>
      <c r="J221" s="18">
        <v>0</v>
      </c>
      <c r="K221" s="18">
        <v>0</v>
      </c>
      <c r="L221" s="19">
        <f t="shared" si="2"/>
        <v>228175.66999999998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4396.4799999999996</v>
      </c>
      <c r="G222" s="18">
        <v>370.2</v>
      </c>
      <c r="H222" s="18">
        <v>611395.04</v>
      </c>
      <c r="I222" s="18">
        <v>160.72999999999999</v>
      </c>
      <c r="J222" s="18">
        <v>0</v>
      </c>
      <c r="K222" s="18">
        <v>2674.37</v>
      </c>
      <c r="L222" s="19">
        <f t="shared" si="2"/>
        <v>618996.82000000007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390892.67</v>
      </c>
      <c r="G223" s="18">
        <v>198630.07</v>
      </c>
      <c r="H223" s="18">
        <v>19695.11</v>
      </c>
      <c r="I223" s="18">
        <v>28513.15</v>
      </c>
      <c r="J223" s="18">
        <v>15661.2</v>
      </c>
      <c r="K223" s="18">
        <v>2770</v>
      </c>
      <c r="L223" s="19">
        <f t="shared" si="2"/>
        <v>656162.19999999995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463</v>
      </c>
      <c r="I224" s="18">
        <v>0</v>
      </c>
      <c r="J224" s="18">
        <v>0</v>
      </c>
      <c r="K224" s="18">
        <v>0</v>
      </c>
      <c r="L224" s="19">
        <f t="shared" si="2"/>
        <v>463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232304.43</v>
      </c>
      <c r="G225" s="18">
        <v>118902.89</v>
      </c>
      <c r="H225" s="18">
        <v>219480.87</v>
      </c>
      <c r="I225" s="18">
        <v>208338.6</v>
      </c>
      <c r="J225" s="18">
        <v>23909.27</v>
      </c>
      <c r="K225" s="18">
        <v>99.5</v>
      </c>
      <c r="L225" s="19">
        <f t="shared" si="2"/>
        <v>803035.55999999994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f>190320.66+26243.32+12502.33</f>
        <v>229066.31</v>
      </c>
      <c r="I226" s="18">
        <v>0</v>
      </c>
      <c r="J226" s="18">
        <v>0</v>
      </c>
      <c r="K226" s="18">
        <v>0</v>
      </c>
      <c r="L226" s="19">
        <f t="shared" si="2"/>
        <v>229066.31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121197</v>
      </c>
      <c r="G227" s="18">
        <v>57536.639999999999</v>
      </c>
      <c r="H227" s="18">
        <v>27427.51</v>
      </c>
      <c r="I227" s="18">
        <v>12739.46</v>
      </c>
      <c r="J227" s="18">
        <v>44287.48</v>
      </c>
      <c r="K227" s="18">
        <v>0</v>
      </c>
      <c r="L227" s="19">
        <f>SUM(F227:K227)</f>
        <v>263188.09000000003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6462882.4400000004</v>
      </c>
      <c r="G229" s="41">
        <f>SUM(G215:G228)</f>
        <v>3055958.99</v>
      </c>
      <c r="H229" s="41">
        <f>SUM(H215:H228)</f>
        <v>1306115.8</v>
      </c>
      <c r="I229" s="41">
        <f>SUM(I215:I228)</f>
        <v>407652.76</v>
      </c>
      <c r="J229" s="41">
        <f>SUM(J215:J228)</f>
        <v>259577.19</v>
      </c>
      <c r="K229" s="41">
        <f t="shared" si="3"/>
        <v>6373.87</v>
      </c>
      <c r="L229" s="41">
        <f t="shared" si="3"/>
        <v>11498561.050000001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>
        <v>4998</v>
      </c>
      <c r="L255" s="19">
        <f t="shared" si="6"/>
        <v>4998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4998</v>
      </c>
      <c r="L256" s="41">
        <f>SUM(F256:K256)</f>
        <v>4998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12171305.43</v>
      </c>
      <c r="G257" s="41">
        <f t="shared" si="8"/>
        <v>5892737.620000001</v>
      </c>
      <c r="H257" s="41">
        <f t="shared" si="8"/>
        <v>3253936.95</v>
      </c>
      <c r="I257" s="41">
        <f t="shared" si="8"/>
        <v>792255.2</v>
      </c>
      <c r="J257" s="41">
        <f t="shared" si="8"/>
        <v>439070.18</v>
      </c>
      <c r="K257" s="41">
        <f t="shared" si="8"/>
        <v>15997.09</v>
      </c>
      <c r="L257" s="41">
        <f t="shared" si="8"/>
        <v>22565302.469999999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395000</v>
      </c>
      <c r="L260" s="19">
        <f>SUM(F260:K260)</f>
        <v>395000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171562.51</v>
      </c>
      <c r="L261" s="19">
        <f>SUM(F261:K261)</f>
        <v>171562.51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52542.25</v>
      </c>
      <c r="L263" s="19">
        <f>SUM(F263:K263)</f>
        <v>52542.25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669104.76</v>
      </c>
      <c r="L270" s="41">
        <f t="shared" si="9"/>
        <v>669104.76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12171305.43</v>
      </c>
      <c r="G271" s="42">
        <f t="shared" si="11"/>
        <v>5892737.620000001</v>
      </c>
      <c r="H271" s="42">
        <f t="shared" si="11"/>
        <v>3253936.95</v>
      </c>
      <c r="I271" s="42">
        <f t="shared" si="11"/>
        <v>792255.2</v>
      </c>
      <c r="J271" s="42">
        <f t="shared" si="11"/>
        <v>439070.18</v>
      </c>
      <c r="K271" s="42">
        <f t="shared" si="11"/>
        <v>685101.85</v>
      </c>
      <c r="L271" s="42">
        <f t="shared" si="11"/>
        <v>23234407.23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0</v>
      </c>
      <c r="G276" s="18">
        <v>0</v>
      </c>
      <c r="H276" s="18">
        <v>803</v>
      </c>
      <c r="I276" s="18">
        <v>0</v>
      </c>
      <c r="J276" s="18">
        <v>0</v>
      </c>
      <c r="K276" s="18">
        <v>0</v>
      </c>
      <c r="L276" s="19">
        <f>SUM(F276:K276)</f>
        <v>803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99051.25</v>
      </c>
      <c r="G277" s="18">
        <v>18276.73</v>
      </c>
      <c r="H277" s="18">
        <v>250</v>
      </c>
      <c r="I277" s="18">
        <v>259</v>
      </c>
      <c r="J277" s="18">
        <v>0</v>
      </c>
      <c r="K277" s="18">
        <v>0</v>
      </c>
      <c r="L277" s="19">
        <f>SUM(F277:K277)</f>
        <v>117836.98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11984.88</v>
      </c>
      <c r="G282" s="18">
        <v>2613.89</v>
      </c>
      <c r="H282" s="18">
        <v>28665.24</v>
      </c>
      <c r="I282" s="18">
        <v>2810.45</v>
      </c>
      <c r="J282" s="18">
        <v>0</v>
      </c>
      <c r="K282" s="18">
        <v>0</v>
      </c>
      <c r="L282" s="19">
        <f t="shared" si="12"/>
        <v>46074.46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250</v>
      </c>
      <c r="I283" s="18">
        <v>0</v>
      </c>
      <c r="J283" s="18">
        <v>0</v>
      </c>
      <c r="K283" s="18">
        <v>0</v>
      </c>
      <c r="L283" s="19">
        <f t="shared" si="12"/>
        <v>250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111036.13</v>
      </c>
      <c r="G290" s="42">
        <f t="shared" si="13"/>
        <v>20890.62</v>
      </c>
      <c r="H290" s="42">
        <f t="shared" si="13"/>
        <v>29968.240000000002</v>
      </c>
      <c r="I290" s="42">
        <f t="shared" si="13"/>
        <v>3069.45</v>
      </c>
      <c r="J290" s="42">
        <f t="shared" si="13"/>
        <v>0</v>
      </c>
      <c r="K290" s="42">
        <f t="shared" si="13"/>
        <v>0</v>
      </c>
      <c r="L290" s="41">
        <f t="shared" si="13"/>
        <v>164964.44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5200</v>
      </c>
      <c r="G295" s="18">
        <v>1134.1199999999999</v>
      </c>
      <c r="H295" s="18">
        <v>0</v>
      </c>
      <c r="I295" s="18">
        <v>7035.99</v>
      </c>
      <c r="J295" s="18">
        <v>1</v>
      </c>
      <c r="K295" s="18">
        <v>0</v>
      </c>
      <c r="L295" s="19">
        <f>SUM(F295:K295)</f>
        <v>13371.11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99523</v>
      </c>
      <c r="G296" s="18">
        <v>19736.689999999999</v>
      </c>
      <c r="H296" s="18">
        <v>0</v>
      </c>
      <c r="I296" s="18">
        <v>2310</v>
      </c>
      <c r="J296" s="18">
        <v>0</v>
      </c>
      <c r="K296" s="18">
        <v>0</v>
      </c>
      <c r="L296" s="19">
        <f>SUM(F296:K296)</f>
        <v>121569.69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>
        <v>146.54</v>
      </c>
      <c r="J298" s="18"/>
      <c r="K298" s="18"/>
      <c r="L298" s="19">
        <f>SUM(F298:K298)</f>
        <v>146.54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10861.96</v>
      </c>
      <c r="G301" s="18">
        <v>2369</v>
      </c>
      <c r="H301" s="18">
        <v>30070.66</v>
      </c>
      <c r="I301" s="18">
        <v>2810.46</v>
      </c>
      <c r="J301" s="18">
        <v>0</v>
      </c>
      <c r="K301" s="18">
        <v>0</v>
      </c>
      <c r="L301" s="19">
        <f t="shared" si="14"/>
        <v>46112.079999999994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250</v>
      </c>
      <c r="I302" s="18">
        <v>0</v>
      </c>
      <c r="J302" s="18">
        <v>0</v>
      </c>
      <c r="K302" s="18">
        <v>0</v>
      </c>
      <c r="L302" s="19">
        <f t="shared" si="14"/>
        <v>250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30.55</v>
      </c>
      <c r="I303" s="18">
        <v>0</v>
      </c>
      <c r="J303" s="18">
        <v>0</v>
      </c>
      <c r="K303" s="18">
        <v>0</v>
      </c>
      <c r="L303" s="19">
        <f t="shared" si="14"/>
        <v>30.55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115584.95999999999</v>
      </c>
      <c r="G309" s="42">
        <f t="shared" si="15"/>
        <v>23239.809999999998</v>
      </c>
      <c r="H309" s="42">
        <f t="shared" si="15"/>
        <v>30351.21</v>
      </c>
      <c r="I309" s="42">
        <f t="shared" si="15"/>
        <v>12302.990000000002</v>
      </c>
      <c r="J309" s="42">
        <f t="shared" si="15"/>
        <v>1</v>
      </c>
      <c r="K309" s="42">
        <f t="shared" si="15"/>
        <v>0</v>
      </c>
      <c r="L309" s="41">
        <f t="shared" si="15"/>
        <v>181479.96999999997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226621.09</v>
      </c>
      <c r="G338" s="41">
        <f t="shared" si="20"/>
        <v>44130.429999999993</v>
      </c>
      <c r="H338" s="41">
        <f t="shared" si="20"/>
        <v>60319.45</v>
      </c>
      <c r="I338" s="41">
        <f t="shared" si="20"/>
        <v>15372.440000000002</v>
      </c>
      <c r="J338" s="41">
        <f t="shared" si="20"/>
        <v>1</v>
      </c>
      <c r="K338" s="41">
        <f t="shared" si="20"/>
        <v>0</v>
      </c>
      <c r="L338" s="41">
        <f t="shared" si="20"/>
        <v>346444.41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226621.09</v>
      </c>
      <c r="G352" s="41">
        <f>G338</f>
        <v>44130.429999999993</v>
      </c>
      <c r="H352" s="41">
        <f>H338</f>
        <v>60319.45</v>
      </c>
      <c r="I352" s="41">
        <f>I338</f>
        <v>15372.440000000002</v>
      </c>
      <c r="J352" s="41">
        <f>J338</f>
        <v>1</v>
      </c>
      <c r="K352" s="47">
        <f>K338+K351</f>
        <v>0</v>
      </c>
      <c r="L352" s="41">
        <f>L338+L351</f>
        <v>346444.41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54066.77</v>
      </c>
      <c r="G358" s="18">
        <v>48189.97</v>
      </c>
      <c r="H358" s="18">
        <f>6294.41+401.32</f>
        <v>6695.73</v>
      </c>
      <c r="I358" s="18">
        <f>31648.17+10455.36</f>
        <v>42103.53</v>
      </c>
      <c r="J358" s="18"/>
      <c r="K358" s="18">
        <v>125.78</v>
      </c>
      <c r="L358" s="13">
        <f>SUM(F358:K358)</f>
        <v>151181.78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109543.57</v>
      </c>
      <c r="G359" s="18">
        <v>73448.160000000003</v>
      </c>
      <c r="H359" s="18">
        <f>1693.2+379.5</f>
        <v>2072.6999999999998</v>
      </c>
      <c r="I359" s="18">
        <f>62965.43+10841.15</f>
        <v>73806.58</v>
      </c>
      <c r="J359" s="18"/>
      <c r="K359" s="18">
        <v>125.77</v>
      </c>
      <c r="L359" s="19">
        <f>SUM(F359:K359)</f>
        <v>258996.78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163610.34</v>
      </c>
      <c r="G362" s="47">
        <f t="shared" si="22"/>
        <v>121638.13</v>
      </c>
      <c r="H362" s="47">
        <f t="shared" si="22"/>
        <v>8768.43</v>
      </c>
      <c r="I362" s="47">
        <f t="shared" si="22"/>
        <v>115910.11</v>
      </c>
      <c r="J362" s="47">
        <f t="shared" si="22"/>
        <v>0</v>
      </c>
      <c r="K362" s="47">
        <f t="shared" si="22"/>
        <v>251.55</v>
      </c>
      <c r="L362" s="47">
        <f t="shared" si="22"/>
        <v>410178.56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26438.37+1290+10455.36</f>
        <v>38183.729999999996</v>
      </c>
      <c r="G367" s="18">
        <f>57331.21+1248.75+10841.15</f>
        <v>69421.11</v>
      </c>
      <c r="H367" s="18"/>
      <c r="I367" s="56">
        <f>SUM(F367:H367)</f>
        <v>107604.84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1931.14+597.45+38.02+271.68+441.15+640.36</f>
        <v>3919.8</v>
      </c>
      <c r="G368" s="63">
        <f>2720.93+1131.05+92.23+-199.1+640.36</f>
        <v>4385.4699999999993</v>
      </c>
      <c r="H368" s="63"/>
      <c r="I368" s="56">
        <f>SUM(F368:H368)</f>
        <v>8305.27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42103.53</v>
      </c>
      <c r="G369" s="47">
        <f>SUM(G367:G368)</f>
        <v>73806.58</v>
      </c>
      <c r="H369" s="47">
        <f>SUM(H367:H368)</f>
        <v>0</v>
      </c>
      <c r="I369" s="47">
        <f>SUM(I367:I368)</f>
        <v>115910.11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128.61000000000001</v>
      </c>
      <c r="I396" s="18"/>
      <c r="J396" s="24" t="s">
        <v>289</v>
      </c>
      <c r="K396" s="24" t="s">
        <v>289</v>
      </c>
      <c r="L396" s="56">
        <f t="shared" si="26"/>
        <v>128.61000000000001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55.1</v>
      </c>
      <c r="I397" s="18"/>
      <c r="J397" s="24" t="s">
        <v>289</v>
      </c>
      <c r="K397" s="24" t="s">
        <v>289</v>
      </c>
      <c r="L397" s="56">
        <f t="shared" si="26"/>
        <v>50055.1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183.71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50183.71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 t="s">
        <v>912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>
        <v>2743.04</v>
      </c>
      <c r="J403" s="24" t="s">
        <v>289</v>
      </c>
      <c r="K403" s="24" t="s">
        <v>289</v>
      </c>
      <c r="L403" s="56">
        <f>SUM(F403:K403)</f>
        <v>2743.04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2743.04</v>
      </c>
      <c r="J407" s="49" t="s">
        <v>289</v>
      </c>
      <c r="K407" s="49" t="s">
        <v>289</v>
      </c>
      <c r="L407" s="47">
        <f>SUM(L403:L406)</f>
        <v>2743.04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183.71</v>
      </c>
      <c r="I408" s="47">
        <f>I393+I401+I407</f>
        <v>2743.04</v>
      </c>
      <c r="J408" s="24" t="s">
        <v>289</v>
      </c>
      <c r="K408" s="24" t="s">
        <v>289</v>
      </c>
      <c r="L408" s="47">
        <f>L393+L401+L407</f>
        <v>52926.75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912</v>
      </c>
      <c r="B429" s="6">
        <v>17</v>
      </c>
      <c r="C429" s="6">
        <v>15</v>
      </c>
      <c r="D429" s="2" t="s">
        <v>433</v>
      </c>
      <c r="E429" s="6"/>
      <c r="F429" s="18">
        <v>2250</v>
      </c>
      <c r="G429" s="18">
        <f>130.7+30.58+318.6+13.16</f>
        <v>493.04</v>
      </c>
      <c r="H429" s="18"/>
      <c r="I429" s="18"/>
      <c r="J429" s="18"/>
      <c r="K429" s="18"/>
      <c r="L429" s="56">
        <f>SUM(F429:K429)</f>
        <v>2743.04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2250</v>
      </c>
      <c r="G433" s="47">
        <f t="shared" si="31"/>
        <v>493.04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2743.04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2250</v>
      </c>
      <c r="G434" s="47">
        <f t="shared" si="32"/>
        <v>493.04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2743.04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>
        <f>60926.12+9490.68+1108.66</f>
        <v>71525.460000000006</v>
      </c>
      <c r="I439" s="56">
        <f t="shared" ref="I439:I445" si="33">SUM(F439:H439)</f>
        <v>71525.460000000006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f>97331.9+50055.1</f>
        <v>147387</v>
      </c>
      <c r="H442" s="18">
        <v>171.04</v>
      </c>
      <c r="I442" s="56">
        <f t="shared" si="33"/>
        <v>147558.04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147387</v>
      </c>
      <c r="H446" s="13">
        <f>SUM(H439:H445)</f>
        <v>71696.5</v>
      </c>
      <c r="I446" s="13">
        <f>SUM(I439:I445)</f>
        <v>219083.5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>
        <v>171.04</v>
      </c>
      <c r="I448" s="56">
        <f>SUM(F448:H448)</f>
        <v>171.04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>
        <f>1108.66+9490.68+60926.12</f>
        <v>71525.460000000006</v>
      </c>
      <c r="I451" s="56">
        <f>SUM(F451:H451)</f>
        <v>71525.460000000006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71696.5</v>
      </c>
      <c r="I452" s="72">
        <f>SUM(I448:I451)</f>
        <v>71696.5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97203.29+50183.71</f>
        <v>147387</v>
      </c>
      <c r="H459" s="18"/>
      <c r="I459" s="56">
        <f t="shared" si="34"/>
        <v>147387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147387</v>
      </c>
      <c r="H460" s="83">
        <f>SUM(H454:H459)</f>
        <v>0</v>
      </c>
      <c r="I460" s="83">
        <f>SUM(I454:I459)</f>
        <v>147387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147387</v>
      </c>
      <c r="H461" s="42">
        <f>H452+H460</f>
        <v>71696.5</v>
      </c>
      <c r="I461" s="42">
        <f>I452+I460</f>
        <v>219083.5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1032834.33</v>
      </c>
      <c r="G465" s="18">
        <v>-13247.05</v>
      </c>
      <c r="H465" s="18"/>
      <c r="I465" s="18">
        <v>30.94</v>
      </c>
      <c r="J465" s="18">
        <v>97203.29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23046394.32</v>
      </c>
      <c r="G468" s="18">
        <f t="shared" ref="G468:J468" si="35">G193</f>
        <v>423425.61000000004</v>
      </c>
      <c r="H468" s="18">
        <f t="shared" si="35"/>
        <v>346444.41</v>
      </c>
      <c r="I468" s="18">
        <f t="shared" si="35"/>
        <v>0.03</v>
      </c>
      <c r="J468" s="18">
        <f t="shared" si="35"/>
        <v>52926.75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f>138000</f>
        <v>138000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23184394.32</v>
      </c>
      <c r="G470" s="53">
        <f>SUM(G468:G469)</f>
        <v>423425.61000000004</v>
      </c>
      <c r="H470" s="53">
        <f>SUM(H468:H469)</f>
        <v>346444.41</v>
      </c>
      <c r="I470" s="53">
        <f>SUM(I468:I469)</f>
        <v>0.03</v>
      </c>
      <c r="J470" s="53">
        <f>SUM(J468:J469)</f>
        <v>52926.75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23234407.23</v>
      </c>
      <c r="G472" s="18">
        <f>L362</f>
        <v>410178.56</v>
      </c>
      <c r="H472" s="18">
        <f>L352</f>
        <v>346444.41</v>
      </c>
      <c r="I472" s="18">
        <v>0</v>
      </c>
      <c r="J472" s="18">
        <f>L434</f>
        <v>2743.04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23234407.23</v>
      </c>
      <c r="G474" s="53">
        <f>SUM(G472:G473)</f>
        <v>410178.56</v>
      </c>
      <c r="H474" s="53">
        <f>SUM(H472:H473)</f>
        <v>346444.41</v>
      </c>
      <c r="I474" s="53">
        <f>SUM(I472:I473)</f>
        <v>0</v>
      </c>
      <c r="J474" s="53">
        <f>SUM(J472:J473)</f>
        <v>2743.04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982821.41999999806</v>
      </c>
      <c r="G476" s="53">
        <f>(G465+G470)- G474</f>
        <v>0</v>
      </c>
      <c r="H476" s="53">
        <f>(H465+H470)- H474</f>
        <v>0</v>
      </c>
      <c r="I476" s="53">
        <f>(I465+I470)- I474</f>
        <v>30.970000000000002</v>
      </c>
      <c r="J476" s="53">
        <f>(J465+J470)- J474</f>
        <v>147386.99999999997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 t="s">
        <v>916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 t="s">
        <v>917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1717000</v>
      </c>
      <c r="G493" s="18">
        <v>3883620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1.62</v>
      </c>
      <c r="G494" s="18">
        <v>4.24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1500000</v>
      </c>
      <c r="G495" s="18">
        <v>2910000</v>
      </c>
      <c r="H495" s="18"/>
      <c r="I495" s="18"/>
      <c r="J495" s="18"/>
      <c r="K495" s="53">
        <f>SUM(F495:J495)</f>
        <v>4410000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6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200000</v>
      </c>
      <c r="G497" s="18">
        <v>195000</v>
      </c>
      <c r="H497" s="18"/>
      <c r="I497" s="18"/>
      <c r="J497" s="18"/>
      <c r="K497" s="53">
        <f t="shared" si="36"/>
        <v>395000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1300000</v>
      </c>
      <c r="G498" s="204">
        <f>2910000-195000</f>
        <v>2715000</v>
      </c>
      <c r="H498" s="204"/>
      <c r="I498" s="204"/>
      <c r="J498" s="204"/>
      <c r="K498" s="205">
        <f t="shared" si="36"/>
        <v>4015000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181475-21425-19425</f>
        <v>140625</v>
      </c>
      <c r="G499" s="18">
        <f>971815.73-67915.63+-62796.88</f>
        <v>841103.22</v>
      </c>
      <c r="H499" s="18"/>
      <c r="I499" s="18"/>
      <c r="J499" s="18"/>
      <c r="K499" s="53">
        <f t="shared" si="36"/>
        <v>981728.22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1440625</v>
      </c>
      <c r="G500" s="42">
        <f>SUM(G498:G499)</f>
        <v>3556103.2199999997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4996728.22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195000</v>
      </c>
      <c r="G501" s="204">
        <v>195000</v>
      </c>
      <c r="H501" s="204"/>
      <c r="I501" s="204"/>
      <c r="J501" s="204"/>
      <c r="K501" s="205">
        <f t="shared" si="36"/>
        <v>390000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19425+17475</f>
        <v>36900</v>
      </c>
      <c r="G502" s="18">
        <f>62796.88+57678.13</f>
        <v>120475.01</v>
      </c>
      <c r="H502" s="18"/>
      <c r="I502" s="18"/>
      <c r="J502" s="18"/>
      <c r="K502" s="53">
        <f t="shared" si="36"/>
        <v>157375.01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231900</v>
      </c>
      <c r="G503" s="42">
        <f>SUM(G501:G502)</f>
        <v>315475.01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547375.01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1156779.34-82108.84</f>
        <v>1074670.5</v>
      </c>
      <c r="G521" s="18">
        <f>681306.92-28153.07</f>
        <v>653153.85000000009</v>
      </c>
      <c r="H521" s="18">
        <f>143351.63-3369.22</f>
        <v>139982.41</v>
      </c>
      <c r="I521" s="18">
        <v>8630.25</v>
      </c>
      <c r="J521" s="18">
        <v>1071.51</v>
      </c>
      <c r="K521" s="18">
        <v>0</v>
      </c>
      <c r="L521" s="88">
        <f>SUM(F521:K521)</f>
        <v>1877508.52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1341683.6-35923.2</f>
        <v>1305760.4000000001</v>
      </c>
      <c r="G522" s="18">
        <f>814234.34-15342.35</f>
        <v>798891.99</v>
      </c>
      <c r="H522" s="18">
        <f>3755.13-1208.37</f>
        <v>2546.7600000000002</v>
      </c>
      <c r="I522" s="18">
        <v>5584.2</v>
      </c>
      <c r="J522" s="18">
        <v>1325.61</v>
      </c>
      <c r="K522" s="18">
        <v>0</v>
      </c>
      <c r="L522" s="88">
        <f>SUM(F522:K522)</f>
        <v>2114108.96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2380430.9000000004</v>
      </c>
      <c r="G524" s="108">
        <f t="shared" ref="G524:L524" si="37">SUM(G521:G523)</f>
        <v>1452045.84</v>
      </c>
      <c r="H524" s="108">
        <f t="shared" si="37"/>
        <v>142529.17000000001</v>
      </c>
      <c r="I524" s="108">
        <f t="shared" si="37"/>
        <v>14214.45</v>
      </c>
      <c r="J524" s="108">
        <f t="shared" si="37"/>
        <v>2397.12</v>
      </c>
      <c r="K524" s="108">
        <f t="shared" si="37"/>
        <v>0</v>
      </c>
      <c r="L524" s="89">
        <f t="shared" si="37"/>
        <v>3991617.48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427420.19</v>
      </c>
      <c r="G526" s="18">
        <v>213263.04</v>
      </c>
      <c r="H526" s="18">
        <f>392128.84+3369.22</f>
        <v>395498.06</v>
      </c>
      <c r="I526" s="18">
        <v>1742.78</v>
      </c>
      <c r="J526" s="18">
        <v>0</v>
      </c>
      <c r="K526" s="18">
        <v>0</v>
      </c>
      <c r="L526" s="88">
        <f>SUM(F526:K526)</f>
        <v>1037924.0700000001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259009.72</v>
      </c>
      <c r="G527" s="18">
        <v>128152.43</v>
      </c>
      <c r="H527" s="18">
        <f>124346.94+1208.37</f>
        <v>125555.31</v>
      </c>
      <c r="I527" s="18">
        <v>3750.2</v>
      </c>
      <c r="J527" s="18">
        <v>0</v>
      </c>
      <c r="K527" s="18">
        <v>0</v>
      </c>
      <c r="L527" s="88">
        <f>SUM(F527:K527)</f>
        <v>516467.66000000003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686429.91</v>
      </c>
      <c r="G529" s="89">
        <f t="shared" ref="G529:L529" si="38">SUM(G526:G528)</f>
        <v>341415.47</v>
      </c>
      <c r="H529" s="89">
        <f t="shared" si="38"/>
        <v>521053.37</v>
      </c>
      <c r="I529" s="89">
        <f t="shared" si="38"/>
        <v>5492.98</v>
      </c>
      <c r="J529" s="89">
        <f t="shared" si="38"/>
        <v>0</v>
      </c>
      <c r="K529" s="89">
        <f t="shared" si="38"/>
        <v>0</v>
      </c>
      <c r="L529" s="89">
        <f t="shared" si="38"/>
        <v>1554391.73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41178.37+40930.47</f>
        <v>82108.84</v>
      </c>
      <c r="G531" s="18">
        <f>24582.71+3570.36</f>
        <v>28153.07</v>
      </c>
      <c r="H531" s="18">
        <v>17007.93</v>
      </c>
      <c r="I531" s="18"/>
      <c r="J531" s="18"/>
      <c r="K531" s="18"/>
      <c r="L531" s="88">
        <f>SUM(F531:K531)</f>
        <v>127269.84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768+35155.2</f>
        <v>35923.199999999997</v>
      </c>
      <c r="G532" s="18">
        <v>15342.35</v>
      </c>
      <c r="H532" s="18">
        <v>7039.55</v>
      </c>
      <c r="I532" s="18"/>
      <c r="J532" s="18"/>
      <c r="K532" s="18"/>
      <c r="L532" s="88">
        <f>SUM(F532:K532)</f>
        <v>58305.1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118032.04</v>
      </c>
      <c r="G534" s="89">
        <f t="shared" ref="G534:L534" si="39">SUM(G531:G533)</f>
        <v>43495.42</v>
      </c>
      <c r="H534" s="89">
        <f t="shared" si="39"/>
        <v>24047.48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185574.94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4753.3100000000004</v>
      </c>
      <c r="I536" s="18"/>
      <c r="J536" s="18"/>
      <c r="K536" s="18"/>
      <c r="L536" s="88">
        <f>SUM(F536:K536)</f>
        <v>4753.3100000000004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5207.6000000000004</v>
      </c>
      <c r="I537" s="18"/>
      <c r="J537" s="18"/>
      <c r="K537" s="18"/>
      <c r="L537" s="88">
        <f>SUM(F537:K537)</f>
        <v>5207.6000000000004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9960.91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9960.91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202995.96</v>
      </c>
      <c r="I541" s="18"/>
      <c r="J541" s="18"/>
      <c r="K541" s="18"/>
      <c r="L541" s="88">
        <f>SUM(F541:K541)</f>
        <v>202995.96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26243.32</v>
      </c>
      <c r="I542" s="18"/>
      <c r="J542" s="18"/>
      <c r="K542" s="18"/>
      <c r="L542" s="88">
        <f>SUM(F542:K542)</f>
        <v>26243.32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229239.28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229239.28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3184892.8500000006</v>
      </c>
      <c r="G545" s="89">
        <f t="shared" ref="G545:L545" si="42">G524+G529+G534+G539+G544</f>
        <v>1836956.73</v>
      </c>
      <c r="H545" s="89">
        <f t="shared" si="42"/>
        <v>926830.21000000008</v>
      </c>
      <c r="I545" s="89">
        <f t="shared" si="42"/>
        <v>19707.43</v>
      </c>
      <c r="J545" s="89">
        <f t="shared" si="42"/>
        <v>2397.12</v>
      </c>
      <c r="K545" s="89">
        <f t="shared" si="42"/>
        <v>0</v>
      </c>
      <c r="L545" s="89">
        <f t="shared" si="42"/>
        <v>5970784.3400000008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1877508.52</v>
      </c>
      <c r="G549" s="87">
        <f>L526</f>
        <v>1037924.0700000001</v>
      </c>
      <c r="H549" s="87">
        <f>L531</f>
        <v>127269.84</v>
      </c>
      <c r="I549" s="87">
        <f>L536</f>
        <v>4753.3100000000004</v>
      </c>
      <c r="J549" s="87">
        <f>L541</f>
        <v>202995.96</v>
      </c>
      <c r="K549" s="87">
        <f>SUM(F549:J549)</f>
        <v>3250451.6999999997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2114108.96</v>
      </c>
      <c r="G550" s="87">
        <f>L527</f>
        <v>516467.66000000003</v>
      </c>
      <c r="H550" s="87">
        <f>L532</f>
        <v>58305.1</v>
      </c>
      <c r="I550" s="87">
        <f>L537</f>
        <v>5207.6000000000004</v>
      </c>
      <c r="J550" s="87">
        <f>L542</f>
        <v>26243.32</v>
      </c>
      <c r="K550" s="87">
        <f>SUM(F550:J550)</f>
        <v>2720332.64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3991617.48</v>
      </c>
      <c r="G552" s="89">
        <f t="shared" si="43"/>
        <v>1554391.73</v>
      </c>
      <c r="H552" s="89">
        <f t="shared" si="43"/>
        <v>185574.94</v>
      </c>
      <c r="I552" s="89">
        <f t="shared" si="43"/>
        <v>9960.91</v>
      </c>
      <c r="J552" s="89">
        <f t="shared" si="43"/>
        <v>229239.28</v>
      </c>
      <c r="K552" s="89">
        <f t="shared" si="43"/>
        <v>5970784.3399999999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98116.160000000003</v>
      </c>
      <c r="G582" s="18">
        <v>0</v>
      </c>
      <c r="H582" s="18"/>
      <c r="I582" s="87">
        <f t="shared" si="48"/>
        <v>98116.160000000003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340239.57</v>
      </c>
      <c r="I591" s="18">
        <v>190320.66</v>
      </c>
      <c r="J591" s="18"/>
      <c r="K591" s="104">
        <f t="shared" ref="K591:K597" si="49">SUM(H591:J591)</f>
        <v>530560.23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202995.96</v>
      </c>
      <c r="I592" s="18">
        <v>26243.32</v>
      </c>
      <c r="J592" s="18"/>
      <c r="K592" s="104">
        <f t="shared" si="49"/>
        <v>229239.28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12502.33</v>
      </c>
      <c r="J594" s="18"/>
      <c r="K594" s="104">
        <f t="shared" si="49"/>
        <v>12502.33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867.25</v>
      </c>
      <c r="I595" s="18"/>
      <c r="J595" s="18"/>
      <c r="K595" s="104">
        <f t="shared" si="49"/>
        <v>867.25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544102.78</v>
      </c>
      <c r="I598" s="108">
        <f>SUM(I591:I597)</f>
        <v>229066.31</v>
      </c>
      <c r="J598" s="108">
        <f>SUM(J591:J597)</f>
        <v>0</v>
      </c>
      <c r="K598" s="108">
        <f>SUM(K591:K597)</f>
        <v>773169.09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179492.99</v>
      </c>
      <c r="I604" s="18">
        <f>259577.19+1</f>
        <v>259578.19</v>
      </c>
      <c r="J604" s="18"/>
      <c r="K604" s="104">
        <f>SUM(H604:J604)</f>
        <v>439071.18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179492.99</v>
      </c>
      <c r="I605" s="108">
        <f>SUM(I602:I604)</f>
        <v>259578.19</v>
      </c>
      <c r="J605" s="108">
        <f>SUM(J602:J604)</f>
        <v>0</v>
      </c>
      <c r="K605" s="108">
        <f>SUM(K602:K604)</f>
        <v>439071.18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5311.79+1400+3800</f>
        <v>10511.79</v>
      </c>
      <c r="G612" s="18">
        <f>329.33+77.02+752.14+7.5+15.94+397.8+736.32</f>
        <v>2316.0500000000002</v>
      </c>
      <c r="H612" s="18"/>
      <c r="I612" s="18">
        <f>53.93+6361.64</f>
        <v>6415.5700000000006</v>
      </c>
      <c r="J612" s="18"/>
      <c r="K612" s="18"/>
      <c r="L612" s="88">
        <f>SUM(F612:K612)</f>
        <v>19243.41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10511.79</v>
      </c>
      <c r="G614" s="108">
        <f t="shared" si="50"/>
        <v>2316.0500000000002</v>
      </c>
      <c r="H614" s="108">
        <f t="shared" si="50"/>
        <v>0</v>
      </c>
      <c r="I614" s="108">
        <f t="shared" si="50"/>
        <v>6415.5700000000006</v>
      </c>
      <c r="J614" s="108">
        <f t="shared" si="50"/>
        <v>0</v>
      </c>
      <c r="K614" s="108">
        <f t="shared" si="50"/>
        <v>0</v>
      </c>
      <c r="L614" s="89">
        <f t="shared" si="50"/>
        <v>19243.41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1190643.4000000001</v>
      </c>
      <c r="H617" s="109">
        <f>SUM(F52)</f>
        <v>1190643.3999999999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20241.060000000001</v>
      </c>
      <c r="H618" s="109">
        <f>SUM(G52)</f>
        <v>20241.060000000001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97862.6</v>
      </c>
      <c r="H619" s="109">
        <f>SUM(H52)</f>
        <v>97862.6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30.97</v>
      </c>
      <c r="H620" s="109">
        <f>SUM(I52)</f>
        <v>30.970000000000002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219083.5</v>
      </c>
      <c r="H621" s="109">
        <f>SUM(J52)</f>
        <v>219083.5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982821.41999999993</v>
      </c>
      <c r="H622" s="109">
        <f>F476</f>
        <v>982821.41999999806</v>
      </c>
      <c r="I622" s="121" t="s">
        <v>101</v>
      </c>
      <c r="J622" s="109">
        <f t="shared" ref="J622:J655" si="51">G622-H622</f>
        <v>1.862645149230957E-9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30.970000000000002</v>
      </c>
      <c r="H625" s="109">
        <f>I476</f>
        <v>30.970000000000002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147387</v>
      </c>
      <c r="H626" s="109">
        <f>J476</f>
        <v>147386.99999999997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23046394.32</v>
      </c>
      <c r="H627" s="104">
        <f>SUM(F468)</f>
        <v>23046394.32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423425.61000000004</v>
      </c>
      <c r="H628" s="104">
        <f>SUM(G468)</f>
        <v>423425.61000000004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346444.41</v>
      </c>
      <c r="H629" s="104">
        <f>SUM(H468)</f>
        <v>346444.41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0.03</v>
      </c>
      <c r="H630" s="104">
        <f>SUM(I468)</f>
        <v>0.03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52926.75</v>
      </c>
      <c r="H631" s="104">
        <f>SUM(J468)</f>
        <v>52926.75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23234407.23</v>
      </c>
      <c r="H632" s="104">
        <f>SUM(F472)</f>
        <v>23234407.23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346444.41</v>
      </c>
      <c r="H633" s="104">
        <f>SUM(H472)</f>
        <v>346444.41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115910.11</v>
      </c>
      <c r="H634" s="104">
        <f>I369</f>
        <v>115910.11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410178.56</v>
      </c>
      <c r="H635" s="104">
        <f>SUM(G472)</f>
        <v>410178.56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52926.75</v>
      </c>
      <c r="H637" s="164">
        <f>SUM(J468)</f>
        <v>52926.75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2743.04</v>
      </c>
      <c r="H638" s="164">
        <f>SUM(J472)</f>
        <v>2743.04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147387</v>
      </c>
      <c r="H640" s="104">
        <f>SUM(G461)</f>
        <v>147387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71696.5</v>
      </c>
      <c r="H641" s="104">
        <f>SUM(H461)</f>
        <v>71696.5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219083.5</v>
      </c>
      <c r="H642" s="104">
        <f>SUM(I461)</f>
        <v>219083.5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183.71</v>
      </c>
      <c r="H644" s="104">
        <f>H408</f>
        <v>183.71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52926.75</v>
      </c>
      <c r="H646" s="104">
        <f>L408</f>
        <v>52926.75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773169.09</v>
      </c>
      <c r="H647" s="104">
        <f>L208+L226+L244</f>
        <v>773169.09000000008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439071.18</v>
      </c>
      <c r="H648" s="104">
        <f>(J257+J338)-(J255+J336)</f>
        <v>439071.18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544102.78</v>
      </c>
      <c r="H649" s="104">
        <f>H598</f>
        <v>544102.78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229066.31</v>
      </c>
      <c r="H650" s="104">
        <f>I598</f>
        <v>229066.31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52542.25</v>
      </c>
      <c r="H652" s="104">
        <f>K263+K345</f>
        <v>52542.25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11377889.639999997</v>
      </c>
      <c r="G660" s="19">
        <f>(L229+L309+L359)</f>
        <v>11939037.800000001</v>
      </c>
      <c r="H660" s="19">
        <f>(L247+L328+L360)</f>
        <v>0</v>
      </c>
      <c r="I660" s="19">
        <f>SUM(F660:H660)</f>
        <v>23316927.439999998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110138.53220516208</v>
      </c>
      <c r="G661" s="19">
        <f>(L359/IF(SUM(L358:L360)=0,1,SUM(L358:L360))*(SUM(G97:G110)))</f>
        <v>188683.61779483795</v>
      </c>
      <c r="H661" s="19">
        <f>(L360/IF(SUM(L358:L360)=0,1,SUM(L358:L360))*(SUM(G97:G110)))</f>
        <v>0</v>
      </c>
      <c r="I661" s="19">
        <f>SUM(F661:H661)</f>
        <v>298822.15000000002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544102.78</v>
      </c>
      <c r="G662" s="19">
        <f>(L226+L306)-(J226+J306)</f>
        <v>229066.31</v>
      </c>
      <c r="H662" s="19">
        <f>(L244+L325)-(J244+J325)</f>
        <v>0</v>
      </c>
      <c r="I662" s="19">
        <f>SUM(F662:H662)</f>
        <v>773169.09000000008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277609.15000000002</v>
      </c>
      <c r="G663" s="199">
        <f>SUM(G575:G587)+SUM(I602:I604)+L612</f>
        <v>278821.59999999998</v>
      </c>
      <c r="H663" s="199">
        <f>SUM(H575:H587)+SUM(J602:J604)+L613</f>
        <v>0</v>
      </c>
      <c r="I663" s="19">
        <f>SUM(F663:H663)</f>
        <v>556430.75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10446039.177794835</v>
      </c>
      <c r="G664" s="19">
        <f>G660-SUM(G661:G663)</f>
        <v>11242466.272205163</v>
      </c>
      <c r="H664" s="19">
        <f>H660-SUM(H661:H663)</f>
        <v>0</v>
      </c>
      <c r="I664" s="19">
        <f>I660-SUM(I661:I663)</f>
        <v>21688505.449999996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553.55999999999995</v>
      </c>
      <c r="G665" s="248">
        <v>642.98</v>
      </c>
      <c r="H665" s="248"/>
      <c r="I665" s="19">
        <f>SUM(F665:H665)</f>
        <v>1196.54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18870.650000000001</v>
      </c>
      <c r="G667" s="19">
        <f>ROUND(G664/G665,2)</f>
        <v>17484.939999999999</v>
      </c>
      <c r="H667" s="19" t="e">
        <f>ROUND(H664/H665,2)</f>
        <v>#DIV/0!</v>
      </c>
      <c r="I667" s="19">
        <f>ROUND(I664/I665,2)</f>
        <v>18126.02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18870.650000000001</v>
      </c>
      <c r="G672" s="19">
        <f>ROUND((G664+G669)/(G665+G670),2)</f>
        <v>17484.939999999999</v>
      </c>
      <c r="H672" s="19" t="e">
        <f>ROUND((H664+H669)/(H665+H670),2)</f>
        <v>#DIV/0!</v>
      </c>
      <c r="I672" s="19">
        <f>ROUND((I664+I669)/(I665+I670),2)</f>
        <v>18126.02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Page &amp;P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Amherst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6692709.4700000007</v>
      </c>
      <c r="C9" s="229">
        <f>'DOE25'!G197+'DOE25'!G215+'DOE25'!G233+'DOE25'!G276+'DOE25'!G295+'DOE25'!G314</f>
        <v>2822959.3600000003</v>
      </c>
    </row>
    <row r="10" spans="1:3" x14ac:dyDescent="0.2">
      <c r="A10" t="s">
        <v>779</v>
      </c>
      <c r="B10" s="240">
        <f>6428053.91+137939.32</f>
        <v>6565993.2300000004</v>
      </c>
      <c r="C10" s="240">
        <v>2769510.93</v>
      </c>
    </row>
    <row r="11" spans="1:3" x14ac:dyDescent="0.2">
      <c r="A11" t="s">
        <v>780</v>
      </c>
      <c r="B11" s="240">
        <f>46135.31+22562.11+6836.85</f>
        <v>75534.27</v>
      </c>
      <c r="C11" s="240">
        <v>31860.07</v>
      </c>
    </row>
    <row r="12" spans="1:3" x14ac:dyDescent="0.2">
      <c r="A12" t="s">
        <v>781</v>
      </c>
      <c r="B12" s="240">
        <f>49710.02+1471.95</f>
        <v>51181.969999999994</v>
      </c>
      <c r="C12" s="240">
        <v>21588.36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6692709.4699999997</v>
      </c>
      <c r="C13" s="231">
        <f>SUM(C10:C12)</f>
        <v>2822959.36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2498462.9400000004</v>
      </c>
      <c r="C18" s="229">
        <f>'DOE25'!G198+'DOE25'!G216+'DOE25'!G234+'DOE25'!G277+'DOE25'!G296+'DOE25'!G315</f>
        <v>1495541.2599999998</v>
      </c>
    </row>
    <row r="19" spans="1:3" x14ac:dyDescent="0.2">
      <c r="A19" t="s">
        <v>779</v>
      </c>
      <c r="B19" s="240">
        <v>1218906.08</v>
      </c>
      <c r="C19" s="240">
        <v>729618.32</v>
      </c>
    </row>
    <row r="20" spans="1:3" x14ac:dyDescent="0.2">
      <c r="A20" t="s">
        <v>780</v>
      </c>
      <c r="B20" s="240">
        <v>1098787.28</v>
      </c>
      <c r="C20" s="240">
        <v>657717.06999999995</v>
      </c>
    </row>
    <row r="21" spans="1:3" x14ac:dyDescent="0.2">
      <c r="A21" t="s">
        <v>781</v>
      </c>
      <c r="B21" s="240">
        <f>179853.27+916.31</f>
        <v>180769.58</v>
      </c>
      <c r="C21" s="240">
        <v>108205.87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2498462.9400000004</v>
      </c>
      <c r="C22" s="231">
        <f>SUM(C19:C21)</f>
        <v>1495541.2599999998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102463.5</v>
      </c>
      <c r="C36" s="235">
        <f>'DOE25'!G200+'DOE25'!G218+'DOE25'!G236+'DOE25'!G279+'DOE25'!G298+'DOE25'!G317</f>
        <v>17428.59</v>
      </c>
    </row>
    <row r="37" spans="1:3" x14ac:dyDescent="0.2">
      <c r="A37" t="s">
        <v>779</v>
      </c>
      <c r="B37" s="240">
        <v>47983.199999999997</v>
      </c>
      <c r="C37" s="240">
        <v>8161.73</v>
      </c>
    </row>
    <row r="38" spans="1:3" x14ac:dyDescent="0.2">
      <c r="A38" t="s">
        <v>780</v>
      </c>
      <c r="B38" s="240">
        <v>20021.8</v>
      </c>
      <c r="C38" s="240">
        <v>3405.62</v>
      </c>
    </row>
    <row r="39" spans="1:3" x14ac:dyDescent="0.2">
      <c r="A39" t="s">
        <v>781</v>
      </c>
      <c r="B39" s="240">
        <v>34458.5</v>
      </c>
      <c r="C39" s="240">
        <v>5861.24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102463.5</v>
      </c>
      <c r="C40" s="231">
        <f>SUM(C37:C39)</f>
        <v>17428.589999999997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Amherst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14144896.34</v>
      </c>
      <c r="D5" s="20">
        <f>SUM('DOE25'!L197:L200)+SUM('DOE25'!L215:L218)+SUM('DOE25'!L233:L236)-F5-G5</f>
        <v>13865919.16</v>
      </c>
      <c r="E5" s="243"/>
      <c r="F5" s="255">
        <f>SUM('DOE25'!J197:J200)+SUM('DOE25'!J215:J218)+SUM('DOE25'!J233:J236)</f>
        <v>278147.18</v>
      </c>
      <c r="G5" s="53">
        <f>SUM('DOE25'!K197:K200)+SUM('DOE25'!K215:K218)+SUM('DOE25'!K233:K236)</f>
        <v>830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2699255.13</v>
      </c>
      <c r="D6" s="20">
        <f>'DOE25'!L202+'DOE25'!L220+'DOE25'!L238-F6-G6</f>
        <v>2699255.13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445314.30999999994</v>
      </c>
      <c r="D7" s="20">
        <f>'DOE25'!L203+'DOE25'!L221+'DOE25'!L239-F7-G7</f>
        <v>444564.32999999996</v>
      </c>
      <c r="E7" s="243"/>
      <c r="F7" s="255">
        <f>'DOE25'!J203+'DOE25'!J221+'DOE25'!J239</f>
        <v>749.98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1247928.58</v>
      </c>
      <c r="D8" s="243"/>
      <c r="E8" s="20">
        <f>'DOE25'!L204+'DOE25'!L222+'DOE25'!L240-F8-G8-D9-D11</f>
        <v>1242158.99</v>
      </c>
      <c r="F8" s="255">
        <f>'DOE25'!J204+'DOE25'!J222+'DOE25'!J240</f>
        <v>0</v>
      </c>
      <c r="G8" s="53">
        <f>'DOE25'!K204+'DOE25'!K222+'DOE25'!K240</f>
        <v>5769.59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1336740.21</v>
      </c>
      <c r="D12" s="20">
        <f>'DOE25'!L205+'DOE25'!L223+'DOE25'!L241-F12-G12</f>
        <v>1261310.6399999999</v>
      </c>
      <c r="E12" s="243"/>
      <c r="F12" s="255">
        <f>'DOE25'!J205+'DOE25'!J223+'DOE25'!J241</f>
        <v>71129.570000000007</v>
      </c>
      <c r="G12" s="53">
        <f>'DOE25'!K205+'DOE25'!K223+'DOE25'!K241</f>
        <v>4300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563</v>
      </c>
      <c r="D13" s="243"/>
      <c r="E13" s="20">
        <f>'DOE25'!L206+'DOE25'!L224+'DOE25'!L242-F13-G13</f>
        <v>563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1493545.2</v>
      </c>
      <c r="D14" s="20">
        <f>'DOE25'!L207+'DOE25'!L225+'DOE25'!L243-F14-G14</f>
        <v>1468401.43</v>
      </c>
      <c r="E14" s="243"/>
      <c r="F14" s="255">
        <f>'DOE25'!J207+'DOE25'!J225+'DOE25'!J243</f>
        <v>25044.27</v>
      </c>
      <c r="G14" s="53">
        <f>'DOE25'!K207+'DOE25'!K225+'DOE25'!K243</f>
        <v>99.5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773169.09000000008</v>
      </c>
      <c r="D15" s="20">
        <f>'DOE25'!L208+'DOE25'!L226+'DOE25'!L244-F15-G15</f>
        <v>773169.09000000008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418892.61000000004</v>
      </c>
      <c r="D16" s="243"/>
      <c r="E16" s="20">
        <f>'DOE25'!L209+'DOE25'!L227+'DOE25'!L245-F16-G16</f>
        <v>354893.43000000005</v>
      </c>
      <c r="F16" s="255">
        <f>'DOE25'!J209+'DOE25'!J227+'DOE25'!J245</f>
        <v>63999.180000000008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4998</v>
      </c>
      <c r="D22" s="243"/>
      <c r="E22" s="243"/>
      <c r="F22" s="255">
        <f>'DOE25'!L255+'DOE25'!L336</f>
        <v>4998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566562.51</v>
      </c>
      <c r="D25" s="243"/>
      <c r="E25" s="243"/>
      <c r="F25" s="258"/>
      <c r="G25" s="256"/>
      <c r="H25" s="257">
        <f>'DOE25'!L260+'DOE25'!L261+'DOE25'!L341+'DOE25'!L342</f>
        <v>566562.51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302573.71999999997</v>
      </c>
      <c r="D29" s="20">
        <f>'DOE25'!L358+'DOE25'!L359+'DOE25'!L360-'DOE25'!I367-F29-G29</f>
        <v>302322.17</v>
      </c>
      <c r="E29" s="243"/>
      <c r="F29" s="255">
        <f>'DOE25'!J358+'DOE25'!J359+'DOE25'!J360</f>
        <v>0</v>
      </c>
      <c r="G29" s="53">
        <f>'DOE25'!K358+'DOE25'!K359+'DOE25'!K360</f>
        <v>251.55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346444.41</v>
      </c>
      <c r="D31" s="20">
        <f>'DOE25'!L290+'DOE25'!L309+'DOE25'!L328+'DOE25'!L333+'DOE25'!L334+'DOE25'!L335-F31-G31</f>
        <v>346443.41</v>
      </c>
      <c r="E31" s="243"/>
      <c r="F31" s="255">
        <f>'DOE25'!J290+'DOE25'!J309+'DOE25'!J328+'DOE25'!J333+'DOE25'!J334+'DOE25'!J335</f>
        <v>1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21161385.359999999</v>
      </c>
      <c r="E33" s="246">
        <f>SUM(E5:E31)</f>
        <v>1597615.42</v>
      </c>
      <c r="F33" s="246">
        <f>SUM(F5:F31)</f>
        <v>444069.18</v>
      </c>
      <c r="G33" s="246">
        <f>SUM(G5:G31)</f>
        <v>11250.64</v>
      </c>
      <c r="H33" s="246">
        <f>SUM(H5:H31)</f>
        <v>566562.51</v>
      </c>
    </row>
    <row r="35" spans="2:8" ht="12" thickBot="1" x14ac:dyDescent="0.25">
      <c r="B35" s="253" t="s">
        <v>847</v>
      </c>
      <c r="D35" s="254">
        <f>E33</f>
        <v>1597615.42</v>
      </c>
      <c r="E35" s="249"/>
    </row>
    <row r="36" spans="2:8" ht="12" thickTop="1" x14ac:dyDescent="0.2">
      <c r="B36" t="s">
        <v>815</v>
      </c>
      <c r="D36" s="20">
        <f>D33</f>
        <v>21161385.359999999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Amherst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-597011.68999999994</v>
      </c>
      <c r="D8" s="95">
        <f>'DOE25'!G9</f>
        <v>0</v>
      </c>
      <c r="E8" s="95">
        <f>'DOE25'!H9</f>
        <v>0</v>
      </c>
      <c r="F8" s="95">
        <f>'DOE25'!I9</f>
        <v>30.97</v>
      </c>
      <c r="G8" s="95">
        <f>'DOE25'!J9</f>
        <v>71525.460000000006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1199849.27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126654.43</v>
      </c>
      <c r="D11" s="95">
        <f>'DOE25'!G12</f>
        <v>11540.26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453008.11</v>
      </c>
      <c r="D12" s="95">
        <f>'DOE25'!G13</f>
        <v>8687.9699999999993</v>
      </c>
      <c r="E12" s="95">
        <f>'DOE25'!H13</f>
        <v>97862.6</v>
      </c>
      <c r="F12" s="95">
        <f>'DOE25'!I13</f>
        <v>0</v>
      </c>
      <c r="G12" s="95">
        <f>'DOE25'!J13</f>
        <v>147558.04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2443.2800000000002</v>
      </c>
      <c r="D13" s="95">
        <f>'DOE25'!G14</f>
        <v>12.83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5700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1190643.4000000001</v>
      </c>
      <c r="D18" s="41">
        <f>SUM(D8:D17)</f>
        <v>20241.060000000001</v>
      </c>
      <c r="E18" s="41">
        <f>SUM(E8:E17)</f>
        <v>97862.6</v>
      </c>
      <c r="F18" s="41">
        <f>SUM(F8:F17)</f>
        <v>30.97</v>
      </c>
      <c r="G18" s="41">
        <f>SUM(G8:G17)</f>
        <v>219083.5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40366.050000000003</v>
      </c>
      <c r="D21" s="95">
        <f>'DOE25'!G22</f>
        <v>0</v>
      </c>
      <c r="E21" s="95">
        <f>'DOE25'!H22</f>
        <v>97657.600000000006</v>
      </c>
      <c r="F21" s="95">
        <f>'DOE25'!I22</f>
        <v>0</v>
      </c>
      <c r="G21" s="95">
        <f>'DOE25'!J22</f>
        <v>171.04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635.70000000000005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545</v>
      </c>
      <c r="D23" s="95">
        <f>'DOE25'!G24</f>
        <v>1824.2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3178.65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17882.939999999999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2990</v>
      </c>
      <c r="D29" s="95">
        <f>'DOE25'!G30</f>
        <v>17781.16</v>
      </c>
      <c r="E29" s="95">
        <f>'DOE25'!H30</f>
        <v>205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142859.34000000003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71525.460000000006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207821.98000000004</v>
      </c>
      <c r="D31" s="41">
        <f>SUM(D21:D30)</f>
        <v>20241.060000000001</v>
      </c>
      <c r="E31" s="41">
        <f>SUM(E21:E30)</f>
        <v>97862.6</v>
      </c>
      <c r="F31" s="41">
        <f>SUM(F21:F30)</f>
        <v>0</v>
      </c>
      <c r="G31" s="41">
        <f>SUM(G21:G30)</f>
        <v>71696.5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30.970000000000002</v>
      </c>
      <c r="G47" s="95">
        <f>'DOE25'!J48</f>
        <v>147387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932821.41999999993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982821.41999999993</v>
      </c>
      <c r="D50" s="41">
        <f>SUM(D34:D49)</f>
        <v>0</v>
      </c>
      <c r="E50" s="41">
        <f>SUM(E34:E49)</f>
        <v>0</v>
      </c>
      <c r="F50" s="41">
        <f>SUM(F34:F49)</f>
        <v>30.970000000000002</v>
      </c>
      <c r="G50" s="41">
        <f>SUM(G34:G49)</f>
        <v>147387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1190643.3999999999</v>
      </c>
      <c r="D51" s="41">
        <f>D50+D31</f>
        <v>20241.060000000001</v>
      </c>
      <c r="E51" s="41">
        <f>E50+E31</f>
        <v>97862.6</v>
      </c>
      <c r="F51" s="41">
        <f>F50+F31</f>
        <v>30.970000000000002</v>
      </c>
      <c r="G51" s="41">
        <f>G50+G31</f>
        <v>219083.5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16490966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1247760.5999999999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10502.98</v>
      </c>
      <c r="D59" s="95">
        <f>'DOE25'!G96</f>
        <v>0</v>
      </c>
      <c r="E59" s="95">
        <f>'DOE25'!H96</f>
        <v>0</v>
      </c>
      <c r="F59" s="95">
        <f>'DOE25'!I96</f>
        <v>0.03</v>
      </c>
      <c r="G59" s="95">
        <f>'DOE25'!J96</f>
        <v>183.71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298070.83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148515.19</v>
      </c>
      <c r="D61" s="95">
        <f>SUM('DOE25'!G98:G110)</f>
        <v>751.32</v>
      </c>
      <c r="E61" s="95">
        <f>SUM('DOE25'!H98:H110)</f>
        <v>14999.04</v>
      </c>
      <c r="F61" s="95">
        <f>SUM('DOE25'!I98:I110)</f>
        <v>0</v>
      </c>
      <c r="G61" s="95">
        <f>SUM('DOE25'!J98:J110)</f>
        <v>2743.04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1406778.7699999998</v>
      </c>
      <c r="D62" s="130">
        <f>SUM(D57:D61)</f>
        <v>298822.15000000002</v>
      </c>
      <c r="E62" s="130">
        <f>SUM(E57:E61)</f>
        <v>14999.04</v>
      </c>
      <c r="F62" s="130">
        <f>SUM(F57:F61)</f>
        <v>0.03</v>
      </c>
      <c r="G62" s="130">
        <f>SUM(G57:G61)</f>
        <v>2926.75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17897744.77</v>
      </c>
      <c r="D63" s="22">
        <f>D56+D62</f>
        <v>298822.15000000002</v>
      </c>
      <c r="E63" s="22">
        <f>E56+E62</f>
        <v>14999.04</v>
      </c>
      <c r="F63" s="22">
        <f>F56+F62</f>
        <v>0.03</v>
      </c>
      <c r="G63" s="22">
        <f>G56+G62</f>
        <v>2926.75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2052230.46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2398843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4451073.46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145415.70000000001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287471.34999999998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4068.34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432887.05</v>
      </c>
      <c r="D78" s="130">
        <f>SUM(D72:D77)</f>
        <v>4068.34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4883960.51</v>
      </c>
      <c r="D81" s="130">
        <f>SUM(D79:D80)+D78+D70</f>
        <v>4068.34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264689.03999999998</v>
      </c>
      <c r="D88" s="95">
        <f>SUM('DOE25'!G153:G161)</f>
        <v>67992.87</v>
      </c>
      <c r="E88" s="95">
        <f>SUM('DOE25'!H153:H161)</f>
        <v>331445.37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264689.03999999998</v>
      </c>
      <c r="D91" s="131">
        <f>SUM(D85:D90)</f>
        <v>67992.87</v>
      </c>
      <c r="E91" s="131">
        <f>SUM(E85:E90)</f>
        <v>331445.37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52542.25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52542.25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23046394.32</v>
      </c>
      <c r="D104" s="86">
        <f>D63+D81+D91+D103</f>
        <v>423425.61000000004</v>
      </c>
      <c r="E104" s="86">
        <f>E63+E81+E91+E103</f>
        <v>346444.41</v>
      </c>
      <c r="F104" s="86">
        <f>F63+F81+F91+F103</f>
        <v>0.03</v>
      </c>
      <c r="G104" s="86">
        <f>G63+G81+G103</f>
        <v>52926.75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10080697.1</v>
      </c>
      <c r="D109" s="24" t="s">
        <v>289</v>
      </c>
      <c r="E109" s="95">
        <f>('DOE25'!L276)+('DOE25'!L295)+('DOE25'!L314)</f>
        <v>14174.11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3918315.8600000003</v>
      </c>
      <c r="D110" s="24" t="s">
        <v>289</v>
      </c>
      <c r="E110" s="95">
        <f>('DOE25'!L277)+('DOE25'!L296)+('DOE25'!L315)</f>
        <v>239406.66999999998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145883.38</v>
      </c>
      <c r="D112" s="24" t="s">
        <v>289</v>
      </c>
      <c r="E112" s="95">
        <f>+('DOE25'!L279)+('DOE25'!L298)+('DOE25'!L317)</f>
        <v>146.54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14144896.340000002</v>
      </c>
      <c r="D115" s="86">
        <f>SUM(D109:D114)</f>
        <v>0</v>
      </c>
      <c r="E115" s="86">
        <f>SUM(E109:E114)</f>
        <v>253727.31999999998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2699255.13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445314.30999999994</v>
      </c>
      <c r="D119" s="24" t="s">
        <v>289</v>
      </c>
      <c r="E119" s="95">
        <f>+('DOE25'!L282)+('DOE25'!L301)+('DOE25'!L320)</f>
        <v>92186.54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1247928.58</v>
      </c>
      <c r="D120" s="24" t="s">
        <v>289</v>
      </c>
      <c r="E120" s="95">
        <f>+('DOE25'!L283)+('DOE25'!L302)+('DOE25'!L321)</f>
        <v>500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1336740.21</v>
      </c>
      <c r="D121" s="24" t="s">
        <v>289</v>
      </c>
      <c r="E121" s="95">
        <f>+('DOE25'!L284)+('DOE25'!L303)+('DOE25'!L322)</f>
        <v>30.55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563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1493545.2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773169.09000000008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418892.61000000004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410178.56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8415408.129999999</v>
      </c>
      <c r="D128" s="86">
        <f>SUM(D118:D127)</f>
        <v>410178.56</v>
      </c>
      <c r="E128" s="86">
        <f>SUM(E118:E127)</f>
        <v>92717.09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4998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395000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171562.51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52542.25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50183.71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2743.04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-2926.75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674102.76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23234407.23</v>
      </c>
      <c r="D145" s="86">
        <f>(D115+D128+D144)</f>
        <v>410178.56</v>
      </c>
      <c r="E145" s="86">
        <f>(E115+E128+E144)</f>
        <v>346444.41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12/11</v>
      </c>
      <c r="C152" s="152" t="str">
        <f>'DOE25'!G491</f>
        <v>07/08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7/21</v>
      </c>
      <c r="C153" s="152" t="str">
        <f>'DOE25'!G492</f>
        <v>08/28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1717000</v>
      </c>
      <c r="C154" s="137">
        <f>'DOE25'!G493</f>
        <v>3883620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1.62</v>
      </c>
      <c r="C155" s="137">
        <f>'DOE25'!G494</f>
        <v>4.24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1500000</v>
      </c>
      <c r="C156" s="137">
        <f>'DOE25'!G495</f>
        <v>2910000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4410000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200000</v>
      </c>
      <c r="C158" s="137">
        <f>'DOE25'!G497</f>
        <v>195000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395000</v>
      </c>
    </row>
    <row r="159" spans="1:9" x14ac:dyDescent="0.2">
      <c r="A159" s="22" t="s">
        <v>35</v>
      </c>
      <c r="B159" s="137">
        <f>'DOE25'!F498</f>
        <v>1300000</v>
      </c>
      <c r="C159" s="137">
        <f>'DOE25'!G498</f>
        <v>2715000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4015000</v>
      </c>
    </row>
    <row r="160" spans="1:9" x14ac:dyDescent="0.2">
      <c r="A160" s="22" t="s">
        <v>36</v>
      </c>
      <c r="B160" s="137">
        <f>'DOE25'!F499</f>
        <v>140625</v>
      </c>
      <c r="C160" s="137">
        <f>'DOE25'!G499</f>
        <v>841103.22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981728.22</v>
      </c>
    </row>
    <row r="161" spans="1:7" x14ac:dyDescent="0.2">
      <c r="A161" s="22" t="s">
        <v>37</v>
      </c>
      <c r="B161" s="137">
        <f>'DOE25'!F500</f>
        <v>1440625</v>
      </c>
      <c r="C161" s="137">
        <f>'DOE25'!G500</f>
        <v>3556103.2199999997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4996728.22</v>
      </c>
    </row>
    <row r="162" spans="1:7" x14ac:dyDescent="0.2">
      <c r="A162" s="22" t="s">
        <v>38</v>
      </c>
      <c r="B162" s="137">
        <f>'DOE25'!F501</f>
        <v>195000</v>
      </c>
      <c r="C162" s="137">
        <f>'DOE25'!G501</f>
        <v>195000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390000</v>
      </c>
    </row>
    <row r="163" spans="1:7" x14ac:dyDescent="0.2">
      <c r="A163" s="22" t="s">
        <v>39</v>
      </c>
      <c r="B163" s="137">
        <f>'DOE25'!F502</f>
        <v>36900</v>
      </c>
      <c r="C163" s="137">
        <f>'DOE25'!G502</f>
        <v>120475.01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157375.01</v>
      </c>
    </row>
    <row r="164" spans="1:7" x14ac:dyDescent="0.2">
      <c r="A164" s="22" t="s">
        <v>246</v>
      </c>
      <c r="B164" s="137">
        <f>'DOE25'!F503</f>
        <v>231900</v>
      </c>
      <c r="C164" s="137">
        <f>'DOE25'!G503</f>
        <v>315475.01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547375.01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&amp;A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Amherst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18871</v>
      </c>
    </row>
    <row r="5" spans="1:4" x14ac:dyDescent="0.2">
      <c r="B5" t="s">
        <v>704</v>
      </c>
      <c r="C5" s="179">
        <f>IF('DOE25'!G665+'DOE25'!G670=0,0,ROUND('DOE25'!G672,0))</f>
        <v>17485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18126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10094871</v>
      </c>
      <c r="D10" s="182">
        <f>ROUND((C10/$C$28)*100,1)</f>
        <v>43.5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4157723</v>
      </c>
      <c r="D11" s="182">
        <f>ROUND((C11/$C$28)*100,1)</f>
        <v>17.899999999999999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146030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2699255</v>
      </c>
      <c r="D15" s="182">
        <f t="shared" ref="D15:D27" si="0">ROUND((C15/$C$28)*100,1)</f>
        <v>11.6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537501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1667321</v>
      </c>
      <c r="D17" s="182">
        <f t="shared" si="0"/>
        <v>7.2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1336771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563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1493545</v>
      </c>
      <c r="D20" s="182">
        <f t="shared" si="0"/>
        <v>6.4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773169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171563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111356.84999999998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23189668.850000001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4998</v>
      </c>
    </row>
    <row r="30" spans="1:4" x14ac:dyDescent="0.2">
      <c r="B30" s="187" t="s">
        <v>729</v>
      </c>
      <c r="C30" s="180">
        <f>SUM(C28:C29)</f>
        <v>23194666.850000001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395000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16490966</v>
      </c>
      <c r="D35" s="182">
        <f t="shared" ref="D35:D40" si="1">ROUND((C35/$C$41)*100,1)</f>
        <v>70.3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1424704.5900000036</v>
      </c>
      <c r="D36" s="182">
        <f t="shared" si="1"/>
        <v>6.1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4451073</v>
      </c>
      <c r="D37" s="182">
        <f t="shared" si="1"/>
        <v>19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436955</v>
      </c>
      <c r="D38" s="182">
        <f t="shared" si="1"/>
        <v>1.9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664127</v>
      </c>
      <c r="D39" s="182">
        <f t="shared" si="1"/>
        <v>2.8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23467825.590000004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&amp;A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Amherst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2015-08-25T14:25:52Z</cp:lastPrinted>
  <dcterms:created xsi:type="dcterms:W3CDTF">1997-12-04T19:04:30Z</dcterms:created>
  <dcterms:modified xsi:type="dcterms:W3CDTF">2015-12-18T13:18:13Z</dcterms:modified>
</cp:coreProperties>
</file>