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C44" i="2"/>
  <c r="C49" i="2" l="1"/>
  <c r="C48" i="2"/>
  <c r="H204" i="1" l="1"/>
  <c r="H468" i="1"/>
  <c r="J468" i="1"/>
  <c r="H472" i="1"/>
  <c r="G439" i="1"/>
  <c r="J276" i="1"/>
  <c r="J207" i="1"/>
  <c r="J203" i="1"/>
  <c r="I276" i="1"/>
  <c r="I207" i="1"/>
  <c r="I203" i="1"/>
  <c r="I202" i="1"/>
  <c r="I198" i="1"/>
  <c r="H208" i="1"/>
  <c r="H207" i="1"/>
  <c r="H203" i="1"/>
  <c r="H202" i="1"/>
  <c r="H198" i="1"/>
  <c r="G203" i="1"/>
  <c r="G202" i="1"/>
  <c r="G198" i="1"/>
  <c r="F203" i="1"/>
  <c r="F202" i="1"/>
  <c r="F198" i="1"/>
  <c r="J96" i="1"/>
  <c r="H155" i="1"/>
  <c r="H154" i="1"/>
  <c r="G158" i="1"/>
  <c r="G97" i="1"/>
  <c r="H48" i="1" l="1"/>
  <c r="H24" i="1"/>
  <c r="H22" i="1"/>
  <c r="H12" i="1"/>
  <c r="F50" i="1" l="1"/>
  <c r="F29" i="1" l="1"/>
  <c r="F9" i="1"/>
  <c r="G51" i="1" l="1"/>
  <c r="F51" i="1"/>
  <c r="C37" i="10" l="1"/>
  <c r="F40" i="2" l="1"/>
  <c r="D39" i="2"/>
  <c r="G655" i="1"/>
  <c r="F48" i="2"/>
  <c r="E48" i="2"/>
  <c r="D48" i="2"/>
  <c r="F47" i="2"/>
  <c r="E47" i="2"/>
  <c r="D47" i="2"/>
  <c r="C47" i="2"/>
  <c r="F44" i="2"/>
  <c r="E44" i="2"/>
  <c r="D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E13" i="13" s="1"/>
  <c r="C13" i="13" s="1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C110" i="2" s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D6" i="13" s="1"/>
  <c r="C6" i="13" s="1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D15" i="13" s="1"/>
  <c r="C15" i="13" s="1"/>
  <c r="L208" i="1"/>
  <c r="L226" i="1"/>
  <c r="L244" i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401" i="1" s="1"/>
  <c r="C139" i="2" s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I147" i="1"/>
  <c r="I162" i="1"/>
  <c r="C11" i="10"/>
  <c r="C12" i="10"/>
  <c r="C13" i="10"/>
  <c r="C15" i="10"/>
  <c r="C19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I661" i="1" s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C18" i="2" s="1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E31" i="2" s="1"/>
  <c r="F23" i="2"/>
  <c r="I450" i="1"/>
  <c r="J24" i="1" s="1"/>
  <c r="G23" i="2" s="1"/>
  <c r="C24" i="2"/>
  <c r="D24" i="2"/>
  <c r="D31" i="2" s="1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E120" i="2"/>
  <c r="E121" i="2"/>
  <c r="C122" i="2"/>
  <c r="E122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G156" i="2" s="1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G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G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H257" i="1" s="1"/>
  <c r="H271" i="1" s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H401" i="1"/>
  <c r="H408" i="1" s="1"/>
  <c r="H644" i="1" s="1"/>
  <c r="I401" i="1"/>
  <c r="F407" i="1"/>
  <c r="G407" i="1"/>
  <c r="H407" i="1"/>
  <c r="I407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G461" i="1" s="1"/>
  <c r="H640" i="1" s="1"/>
  <c r="H460" i="1"/>
  <c r="F461" i="1"/>
  <c r="H461" i="1"/>
  <c r="F470" i="1"/>
  <c r="G470" i="1"/>
  <c r="H470" i="1"/>
  <c r="H476" i="1" s="1"/>
  <c r="H624" i="1" s="1"/>
  <c r="I470" i="1"/>
  <c r="J470" i="1"/>
  <c r="F474" i="1"/>
  <c r="F476" i="1" s="1"/>
  <c r="H622" i="1" s="1"/>
  <c r="J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8" i="1" s="1"/>
  <c r="G647" i="1" s="1"/>
  <c r="J647" i="1" s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G641" i="1"/>
  <c r="H641" i="1"/>
  <c r="G642" i="1"/>
  <c r="G643" i="1"/>
  <c r="G644" i="1"/>
  <c r="G645" i="1"/>
  <c r="H645" i="1"/>
  <c r="J645" i="1" s="1"/>
  <c r="H647" i="1"/>
  <c r="G649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C26" i="10"/>
  <c r="L328" i="1"/>
  <c r="H660" i="1" s="1"/>
  <c r="L351" i="1"/>
  <c r="I662" i="1"/>
  <c r="A40" i="12"/>
  <c r="D12" i="13"/>
  <c r="C12" i="13" s="1"/>
  <c r="D18" i="2"/>
  <c r="C91" i="2"/>
  <c r="F78" i="2"/>
  <c r="F81" i="2" s="1"/>
  <c r="D50" i="2"/>
  <c r="F18" i="2"/>
  <c r="D91" i="2"/>
  <c r="E62" i="2"/>
  <c r="E63" i="2" s="1"/>
  <c r="G62" i="2"/>
  <c r="D29" i="13"/>
  <c r="C29" i="13" s="1"/>
  <c r="D19" i="13"/>
  <c r="C19" i="13" s="1"/>
  <c r="E78" i="2"/>
  <c r="L427" i="1"/>
  <c r="J641" i="1"/>
  <c r="J639" i="1"/>
  <c r="K605" i="1"/>
  <c r="G648" i="1" s="1"/>
  <c r="J571" i="1"/>
  <c r="K571" i="1"/>
  <c r="L433" i="1"/>
  <c r="L419" i="1"/>
  <c r="I169" i="1"/>
  <c r="H169" i="1"/>
  <c r="J476" i="1"/>
  <c r="H626" i="1" s="1"/>
  <c r="I476" i="1"/>
  <c r="H625" i="1" s="1"/>
  <c r="J625" i="1" s="1"/>
  <c r="G338" i="1"/>
  <c r="G352" i="1" s="1"/>
  <c r="J140" i="1"/>
  <c r="F571" i="1"/>
  <c r="I552" i="1"/>
  <c r="K549" i="1"/>
  <c r="K550" i="1"/>
  <c r="G22" i="2"/>
  <c r="K545" i="1"/>
  <c r="J552" i="1"/>
  <c r="H552" i="1"/>
  <c r="C29" i="10"/>
  <c r="H140" i="1"/>
  <c r="L393" i="1"/>
  <c r="A13" i="12"/>
  <c r="F22" i="13"/>
  <c r="C22" i="13" s="1"/>
  <c r="H25" i="13"/>
  <c r="C25" i="13" s="1"/>
  <c r="J651" i="1"/>
  <c r="H571" i="1"/>
  <c r="L560" i="1"/>
  <c r="J545" i="1"/>
  <c r="G192" i="1"/>
  <c r="H192" i="1"/>
  <c r="L309" i="1"/>
  <c r="J655" i="1"/>
  <c r="L570" i="1"/>
  <c r="I571" i="1"/>
  <c r="I545" i="1"/>
  <c r="J636" i="1"/>
  <c r="G36" i="2"/>
  <c r="L565" i="1"/>
  <c r="G545" i="1"/>
  <c r="K551" i="1"/>
  <c r="C138" i="2"/>
  <c r="E81" i="2" l="1"/>
  <c r="H33" i="13"/>
  <c r="G81" i="2"/>
  <c r="C78" i="2"/>
  <c r="D7" i="13"/>
  <c r="C7" i="13" s="1"/>
  <c r="H545" i="1"/>
  <c r="L529" i="1"/>
  <c r="L524" i="1"/>
  <c r="K552" i="1"/>
  <c r="J649" i="1"/>
  <c r="G476" i="1"/>
  <c r="H623" i="1" s="1"/>
  <c r="J623" i="1" s="1"/>
  <c r="J640" i="1"/>
  <c r="I460" i="1"/>
  <c r="I461" i="1" s="1"/>
  <c r="H642" i="1" s="1"/>
  <c r="J642" i="1" s="1"/>
  <c r="J644" i="1"/>
  <c r="J634" i="1"/>
  <c r="K338" i="1"/>
  <c r="K352" i="1" s="1"/>
  <c r="C17" i="10"/>
  <c r="E128" i="2"/>
  <c r="H664" i="1"/>
  <c r="H672" i="1" s="1"/>
  <c r="C6" i="10" s="1"/>
  <c r="D145" i="2"/>
  <c r="L362" i="1"/>
  <c r="C27" i="10" s="1"/>
  <c r="E115" i="2"/>
  <c r="C10" i="10"/>
  <c r="C109" i="2"/>
  <c r="C115" i="2" s="1"/>
  <c r="L290" i="1"/>
  <c r="L338" i="1" s="1"/>
  <c r="L352" i="1" s="1"/>
  <c r="G633" i="1" s="1"/>
  <c r="J633" i="1" s="1"/>
  <c r="C16" i="10"/>
  <c r="C20" i="10"/>
  <c r="D14" i="13"/>
  <c r="C14" i="13" s="1"/>
  <c r="C121" i="2"/>
  <c r="E8" i="13"/>
  <c r="C8" i="13" s="1"/>
  <c r="C120" i="2"/>
  <c r="C119" i="2"/>
  <c r="D5" i="13"/>
  <c r="C5" i="13" s="1"/>
  <c r="L211" i="1"/>
  <c r="L257" i="1" s="1"/>
  <c r="L271" i="1" s="1"/>
  <c r="G632" i="1" s="1"/>
  <c r="J632" i="1" s="1"/>
  <c r="F112" i="1"/>
  <c r="C62" i="2"/>
  <c r="C70" i="2"/>
  <c r="C81" i="2" s="1"/>
  <c r="C35" i="10"/>
  <c r="C36" i="10" s="1"/>
  <c r="C56" i="2"/>
  <c r="J624" i="1"/>
  <c r="H52" i="1"/>
  <c r="H619" i="1" s="1"/>
  <c r="J619" i="1" s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G571" i="1"/>
  <c r="I434" i="1"/>
  <c r="G434" i="1"/>
  <c r="I663" i="1"/>
  <c r="E145" i="2" l="1"/>
  <c r="L545" i="1"/>
  <c r="D31" i="13"/>
  <c r="C31" i="13" s="1"/>
  <c r="G635" i="1"/>
  <c r="J635" i="1" s="1"/>
  <c r="G672" i="1"/>
  <c r="C5" i="10" s="1"/>
  <c r="C28" i="10"/>
  <c r="D23" i="10" s="1"/>
  <c r="E33" i="13"/>
  <c r="D35" i="13" s="1"/>
  <c r="C128" i="2"/>
  <c r="C145" i="2" s="1"/>
  <c r="F660" i="1"/>
  <c r="C63" i="2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D20" i="10"/>
  <c r="D13" i="10"/>
  <c r="D21" i="10"/>
  <c r="D25" i="10"/>
  <c r="D19" i="10"/>
  <c r="D15" i="10"/>
  <c r="D11" i="10"/>
  <c r="D22" i="10"/>
  <c r="D27" i="10"/>
  <c r="D12" i="10"/>
  <c r="D24" i="10"/>
  <c r="D18" i="10"/>
  <c r="D17" i="10"/>
  <c r="D10" i="10"/>
  <c r="D26" i="10"/>
  <c r="C30" i="10"/>
  <c r="D16" i="10"/>
  <c r="F664" i="1"/>
  <c r="I660" i="1"/>
  <c r="I664" i="1" s="1"/>
  <c r="I672" i="1" s="1"/>
  <c r="C7" i="10" s="1"/>
  <c r="H656" i="1"/>
  <c r="C41" i="10"/>
  <c r="D38" i="10" s="1"/>
  <c r="D28" i="10" l="1"/>
  <c r="I667" i="1"/>
  <c r="F667" i="1"/>
  <c r="F672" i="1"/>
  <c r="C4" i="10" s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<sst xmlns="http://schemas.openxmlformats.org/spreadsheetml/2006/main" count="3954" uniqueCount="912">
  <si>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</si>
  <si>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</si>
  <si>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</si>
  <si>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</si>
  <si>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</si>
  <si>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</si>
  <si>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</si>
  <si>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</si>
  <si>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</si>
  <si>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</si>
  <si>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</si>
  <si>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</si>
  <si>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</si>
  <si>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</si>
  <si>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</si>
  <si>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</si>
  <si>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</si>
  <si>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</si>
  <si>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</si>
  <si>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</si>
  <si>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</si>
  <si>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</si>
  <si>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</si>
  <si>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</si>
  <si>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</si>
  <si>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</si>
  <si>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</si>
  <si>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</si>
  <si>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</si>
  <si>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</si>
  <si>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</si>
  <si>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</si>
  <si>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</si>
  <si>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</si>
  <si>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</si>
  <si>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</si>
  <si>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</si>
  <si>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</si>
  <si>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</si>
  <si>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</si>
  <si>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</si>
  <si>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</si>
  <si>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</si>
  <si>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</si>
  <si>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</si>
  <si>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</si>
  <si>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</si>
  <si>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</si>
  <si>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</si>
  <si>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</si>
  <si>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</si>
  <si>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</si>
  <si>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</si>
  <si>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</si>
  <si>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</si>
  <si>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</si>
  <si>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</si>
  <si>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</si>
  <si>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</si>
  <si>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</si>
  <si>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</si>
  <si>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</si>
  <si>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</si>
  <si>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</si>
  <si>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</si>
  <si>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</si>
  <si>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</si>
  <si>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</si>
  <si>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</si>
  <si>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</si>
  <si>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</si>
  <si>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</si>
  <si>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</si>
  <si>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</si>
  <si>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</si>
  <si>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</si>
  <si>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</si>
  <si>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</si>
  <si>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</si>
  <si>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</si>
  <si>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</si>
  <si>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</si>
  <si>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</si>
  <si>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</si>
  <si>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</si>
  <si>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</si>
  <si>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</si>
  <si>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</si>
  <si>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</si>
  <si>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</si>
  <si>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</si>
  <si>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</si>
  <si>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</si>
  <si>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</si>
  <si>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</si>
  <si>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</si>
  <si>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</si>
  <si>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</si>
  <si>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</si>
  <si>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</si>
  <si>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</si>
  <si>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</si>
  <si>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</si>
  <si>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</si>
  <si>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</si>
  <si>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</si>
  <si>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</si>
  <si>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</si>
  <si>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</si>
  <si>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</si>
  <si>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</si>
  <si>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</si>
  <si>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</si>
  <si>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</si>
  <si>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</si>
  <si>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</si>
  <si>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</si>
  <si>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</si>
  <si>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</si>
  <si>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</si>
  <si>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</si>
  <si>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</si>
  <si>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</si>
  <si>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</si>
  <si>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</si>
  <si>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</si>
  <si>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</si>
  <si>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</si>
  <si>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</si>
  <si>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</si>
  <si>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</si>
  <si>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</si>
  <si>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</si>
  <si>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</si>
  <si>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</si>
  <si>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</si>
  <si>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</si>
  <si>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</si>
  <si>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</si>
  <si>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</si>
  <si>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</si>
  <si>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</si>
  <si>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</si>
  <si>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</si>
  <si>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</si>
  <si>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</si>
  <si>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</si>
  <si>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</si>
  <si>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</si>
  <si>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</si>
  <si>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</si>
  <si>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</si>
  <si>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</si>
  <si>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</si>
  <si>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</si>
  <si>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</si>
  <si>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</si>
  <si>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</si>
  <si>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</si>
  <si>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</si>
  <si>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</si>
  <si>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</si>
  <si>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</si>
  <si>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</si>
  <si>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</si>
  <si>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</si>
  <si>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</si>
  <si>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</si>
  <si>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</si>
  <si>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</si>
  <si>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</si>
  <si>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</si>
  <si>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</si>
  <si>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</si>
  <si>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</si>
  <si>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</si>
  <si>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</si>
  <si>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</si>
  <si>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</si>
  <si>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</si>
  <si>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</si>
  <si>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</si>
  <si>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</si>
  <si>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</si>
  <si>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</si>
  <si>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</si>
  <si>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</si>
  <si>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</si>
  <si>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</si>
  <si>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</si>
  <si>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</si>
  <si>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</si>
  <si>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</si>
  <si>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</si>
  <si>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</si>
  <si>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</si>
  <si>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</si>
  <si>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</si>
  <si>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</si>
  <si>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</si>
  <si>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</si>
  <si>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</si>
  <si>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</si>
  <si>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</si>
  <si>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</si>
  <si>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</si>
  <si>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</si>
  <si>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</si>
  <si>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</si>
  <si>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</si>
  <si>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</si>
  <si>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</si>
  <si>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</si>
  <si>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</si>
  <si>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</si>
  <si>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</si>
  <si>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</si>
  <si>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</si>
  <si>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</si>
  <si>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</si>
  <si>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</si>
  <si>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</si>
  <si>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</si>
  <si>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</si>
  <si>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</si>
  <si>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</si>
  <si>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</si>
  <si>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</si>
  <si>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</si>
  <si>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</si>
  <si>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</si>
  <si>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</si>
  <si>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</si>
  <si>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</si>
  <si>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</si>
  <si>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</si>
  <si>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</si>
  <si>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</si>
  <si>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</si>
  <si>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</si>
  <si>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</si>
  <si>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</si>
  <si>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</si>
  <si>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</si>
  <si>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</si>
  <si>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</si>
  <si>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</si>
  <si>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</si>
  <si>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</si>
  <si>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</si>
  <si>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</si>
  <si>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</si>
  <si>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</si>
  <si>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</si>
  <si>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</si>
  <si>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</si>
  <si>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</si>
  <si>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</si>
  <si>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</si>
  <si>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</si>
  <si>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</si>
  <si>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</si>
  <si>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</si>
  <si>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</si>
  <si>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</si>
  <si>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</si>
  <si>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</si>
  <si>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</si>
  <si>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</si>
  <si>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</si>
  <si>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</si>
  <si>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</si>
  <si>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</si>
  <si>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</si>
  <si>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</si>
  <si>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</si>
  <si>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</si>
  <si>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</si>
  <si>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</si>
  <si>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</si>
  <si>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</si>
  <si>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</si>
  <si>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</si>
  <si>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</si>
  <si>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</si>
  <si>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</si>
  <si>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</si>
  <si>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</si>
  <si>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</si>
  <si>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</si>
  <si>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</si>
  <si>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</si>
  <si>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</si>
  <si>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</si>
  <si>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</si>
  <si>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</si>
  <si>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</si>
  <si>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</si>
  <si>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</si>
  <si>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</si>
  <si>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</si>
  <si>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</si>
  <si>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</si>
  <si>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</si>
  <si>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</si>
  <si>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</si>
  <si>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</si>
  <si>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</si>
  <si>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</si>
  <si>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</si>
  <si>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</si>
  <si>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</si>
  <si>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</si>
  <si>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</si>
  <si>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</si>
  <si>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</si>
  <si>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</si>
  <si>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</si>
  <si>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</si>
  <si>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</si>
  <si>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</si>
  <si>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</si>
  <si>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</si>
  <si>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</si>
  <si>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</si>
  <si>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</si>
  <si>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</si>
  <si>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</si>
  <si>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</si>
  <si>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</si>
  <si>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</si>
  <si>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</si>
  <si>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</si>
  <si>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</si>
  <si>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</si>
  <si>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</si>
  <si>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</si>
  <si>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</si>
  <si>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</si>
  <si>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</si>
  <si>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</si>
  <si>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</si>
  <si>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</si>
  <si>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</si>
  <si>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</si>
  <si>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</si>
  <si>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</si>
  <si>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</si>
  <si>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</si>
  <si>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</si>
  <si>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</si>
  <si>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</si>
  <si>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</si>
  <si>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</si>
  <si>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</si>
  <si>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</si>
  <si>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</si>
  <si>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</si>
  <si>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</si>
  <si>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</si>
  <si>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</si>
  <si>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</si>
  <si>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</si>
  <si>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</si>
  <si>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</si>
  <si>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</si>
  <si>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</si>
  <si>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</si>
  <si>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</si>
  <si>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</si>
  <si>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</si>
  <si>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</si>
  <si>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</si>
  <si>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</si>
  <si>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</si>
  <si>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</si>
  <si>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</si>
  <si>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</si>
  <si>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</si>
  <si>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</si>
  <si>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</si>
  <si>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</si>
  <si>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</si>
  <si>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</si>
  <si>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</si>
  <si>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</si>
  <si>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</si>
  <si>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</si>
  <si>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</si>
  <si>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</si>
  <si>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</si>
  <si>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</si>
  <si>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</si>
  <si>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</si>
  <si>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</si>
  <si>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</si>
  <si>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</si>
  <si>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</si>
  <si>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</si>
  <si>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</si>
  <si>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</si>
  <si>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</si>
  <si>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</si>
  <si>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</si>
  <si>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</si>
  <si>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</si>
  <si>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</si>
  <si>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</si>
  <si>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</si>
  <si>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</si>
  <si>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</si>
  <si>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</si>
  <si>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</si>
  <si>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</si>
  <si>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</si>
  <si>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</si>
  <si>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</si>
  <si>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</si>
  <si>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</si>
  <si>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</si>
  <si>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</si>
  <si>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</si>
  <si>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</si>
  <si>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</si>
  <si>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</si>
  <si>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</si>
  <si>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</si>
  <si>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</si>
  <si>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</si>
  <si>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</si>
  <si>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</si>
  <si>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</si>
  <si>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</si>
  <si>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</si>
  <si>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</si>
  <si>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</si>
  <si>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</si>
  <si>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</si>
  <si>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</si>
  <si>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</si>
  <si>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</si>
  <si>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</si>
  <si>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</si>
  <si>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</si>
  <si>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</si>
  <si>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</si>
  <si>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</si>
  <si>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</si>
  <si>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</si>
  <si>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</si>
  <si>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</si>
  <si>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</si>
  <si>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</si>
  <si>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</si>
  <si>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</si>
  <si>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</si>
  <si>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</si>
  <si>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</si>
  <si>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</si>
  <si>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</si>
  <si>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</si>
  <si>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</si>
  <si>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</si>
  <si>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</si>
  <si>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</si>
  <si>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</si>
  <si>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</si>
  <si>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</si>
  <si>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</si>
  <si>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</si>
  <si>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</si>
  <si>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</si>
  <si>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</si>
  <si>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</si>
  <si>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</si>
  <si>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</si>
  <si>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</si>
  <si>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</si>
  <si>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</si>
  <si>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</si>
  <si>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</si>
  <si>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</si>
  <si>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</si>
  <si>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</si>
  <si>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</si>
  <si>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</si>
  <si>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</si>
  <si>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</si>
  <si>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</si>
  <si>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</si>
  <si>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</si>
  <si>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</si>
  <si>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</si>
  <si>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</si>
  <si>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</si>
  <si>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</si>
  <si>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</si>
  <si>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</si>
  <si>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</si>
  <si>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</si>
  <si>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</si>
  <si>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</si>
  <si>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</si>
  <si>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</si>
  <si>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</si>
  <si>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</si>
  <si>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</si>
  <si>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</si>
  <si>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</si>
  <si>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</si>
  <si>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</si>
  <si>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</si>
  <si>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</si>
  <si>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</si>
  <si>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</si>
  <si>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</si>
  <si>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</si>
  <si>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</si>
  <si>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</si>
  <si>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</si>
  <si>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</si>
  <si>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</si>
  <si>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</si>
  <si>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</si>
  <si>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</si>
  <si>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</si>
  <si>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</si>
  <si>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</si>
  <si>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</si>
  <si>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</si>
  <si>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</si>
  <si>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</si>
  <si>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</si>
  <si>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</si>
  <si>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</si>
  <si>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</si>
  <si>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</si>
  <si>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</si>
  <si>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</si>
  <si>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</si>
  <si>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</si>
  <si>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</si>
  <si>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</si>
  <si>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</si>
  <si>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</si>
  <si>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</si>
  <si>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</si>
  <si>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</si>
  <si>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</si>
  <si>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</si>
  <si>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</si>
  <si>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</si>
  <si>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</si>
  <si>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</si>
  <si>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</si>
  <si>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</si>
  <si>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</si>
  <si>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</si>
  <si>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</si>
  <si>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</si>
  <si>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</si>
  <si>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</si>
  <si>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</si>
  <si>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</si>
  <si>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</si>
  <si>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</si>
  <si>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</si>
  <si>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</si>
  <si>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</si>
  <si>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</si>
  <si>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</si>
  <si>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</si>
  <si>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</si>
  <si>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</si>
  <si>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</si>
  <si>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</si>
  <si>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</si>
  <si>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</si>
  <si>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</si>
  <si>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</si>
  <si>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</si>
  <si>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</si>
  <si>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</si>
  <si>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</si>
  <si>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</si>
  <si>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</si>
  <si>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</si>
  <si>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</si>
  <si>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</si>
  <si>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</si>
  <si>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</si>
  <si>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</si>
  <si>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</si>
  <si>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</si>
  <si>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</si>
  <si>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</si>
  <si>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</si>
  <si>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</si>
  <si>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</si>
  <si>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</si>
  <si>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</si>
  <si>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</si>
  <si>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</si>
  <si>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</si>
  <si>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</si>
  <si>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</si>
  <si>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</si>
  <si>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</si>
  <si>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</si>
  <si>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</si>
  <si>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</si>
  <si>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</si>
  <si>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</si>
  <si>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</si>
  <si>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</si>
  <si>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</si>
  <si>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</si>
  <si>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</si>
  <si>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</si>
  <si>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</si>
  <si>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</si>
  <si>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</si>
  <si>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</si>
  <si>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</si>
  <si>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</si>
  <si>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</si>
  <si>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</si>
  <si>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</si>
  <si>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</si>
  <si>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</si>
  <si>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</si>
  <si>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</si>
  <si>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</si>
  <si>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</si>
  <si>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</si>
  <si>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</si>
  <si>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</si>
  <si>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</si>
  <si>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</si>
  <si>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</si>
  <si>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</si>
  <si>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</si>
  <si>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</si>
  <si>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</si>
  <si>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</si>
  <si>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</si>
  <si>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</si>
  <si>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</si>
  <si>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</si>
  <si>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</si>
  <si>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</si>
  <si>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</si>
  <si>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</si>
  <si>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</si>
  <si>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</si>
  <si>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</si>
  <si>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</si>
  <si>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</si>
  <si>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</si>
  <si>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</si>
  <si>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</si>
  <si>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</si>
  <si>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</si>
  <si>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</si>
  <si>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</si>
  <si>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</si>
  <si>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</si>
  <si>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</si>
  <si>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</si>
  <si>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</si>
  <si>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</si>
  <si>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</si>
  <si>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</si>
  <si>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</si>
  <si>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</si>
  <si>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</si>
  <si>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</si>
  <si>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</si>
  <si>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</si>
  <si>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</si>
  <si>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</si>
  <si>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</si>
  <si>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</si>
  <si>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</si>
  <si>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</si>
  <si>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</si>
  <si>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</si>
  <si>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</si>
  <si>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</si>
  <si>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</si>
  <si>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</si>
  <si>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</si>
  <si>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</si>
  <si>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</si>
  <si>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</si>
  <si>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</si>
  <si>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</si>
  <si>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</si>
  <si>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</si>
  <si>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</si>
  <si>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</si>
  <si>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</si>
  <si>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</si>
  <si>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</si>
  <si>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</si>
  <si>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</si>
  <si>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</si>
  <si>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</si>
  <si>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</si>
  <si>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</si>
  <si>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</si>
  <si>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</si>
  <si>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</si>
  <si>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</si>
  <si>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</si>
  <si>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</si>
  <si>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</si>
  <si>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</si>
  <si>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</si>
  <si>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</si>
  <si>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</si>
  <si>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</si>
  <si>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</si>
  <si>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</si>
  <si>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</si>
  <si>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</si>
  <si>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</si>
  <si>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</si>
  <si>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</si>
  <si>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</si>
  <si>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</si>
  <si>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</si>
  <si>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</si>
  <si>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</si>
  <si>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</si>
  <si>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</si>
  <si>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</si>
  <si>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</si>
  <si>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</si>
  <si>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</si>
  <si>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</si>
  <si>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</si>
  <si>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</si>
  <si>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</si>
  <si>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</si>
  <si>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</si>
  <si>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</si>
  <si>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</si>
  <si>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</si>
  <si>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</si>
  <si>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</si>
  <si>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</si>
  <si>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</si>
  <si>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</si>
  <si>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</si>
  <si>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</si>
  <si>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</si>
  <si>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</si>
  <si>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</si>
  <si>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</si>
  <si>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</si>
  <si>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</si>
  <si>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</si>
  <si>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</si>
  <si>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</si>
  <si>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</si>
  <si>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</si>
  <si>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</si>
  <si>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</si>
  <si>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</si>
  <si>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</si>
  <si>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</si>
  <si>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</si>
  <si>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</si>
  <si>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</si>
  <si>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</si>
  <si>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</si>
  <si>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</si>
  <si>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</si>
  <si>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</si>
  <si>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</si>
  <si>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</si>
  <si>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</si>
  <si>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</si>
  <si>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</si>
  <si>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</si>
  <si>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</si>
  <si>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</si>
  <si>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</si>
  <si>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</si>
  <si>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</si>
  <si>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</si>
  <si>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</si>
  <si>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</si>
  <si>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</si>
  <si>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</si>
  <si>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</si>
  <si>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</si>
  <si>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</si>
  <si>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</si>
  <si>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</si>
  <si>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</si>
  <si>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</si>
  <si>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</si>
  <si>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</si>
  <si>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</si>
  <si>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</si>
  <si>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</si>
  <si>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</si>
  <si>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</si>
  <si>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</si>
  <si>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</si>
  <si>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</si>
  <si>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</si>
  <si>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</si>
  <si>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</si>
  <si>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</si>
  <si>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</si>
  <si>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</si>
  <si>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</si>
  <si>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</si>
  <si>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</si>
  <si>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</si>
  <si>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</si>
  <si>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</si>
  <si>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</si>
  <si>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</si>
  <si>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</si>
  <si>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</si>
  <si>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</si>
  <si>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</si>
  <si>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</si>
  <si>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</si>
  <si>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</si>
  <si>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</si>
  <si>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</si>
  <si>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</si>
  <si>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</si>
  <si>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</si>
  <si>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</si>
  <si>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</si>
  <si>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</si>
  <si>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</si>
  <si>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</si>
  <si>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</si>
  <si>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</si>
  <si>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</si>
  <si>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</si>
  <si>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</si>
  <si>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</si>
  <si>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</si>
  <si>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</si>
  <si>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</si>
  <si>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</si>
  <si>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</si>
  <si>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</si>
  <si>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</si>
  <si>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</si>
  <si>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</si>
  <si>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</si>
  <si>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</si>
  <si>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</si>
  <si>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</si>
  <si>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</si>
  <si>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</si>
  <si>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</si>
  <si>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</si>
  <si>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</si>
  <si>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</si>
  <si>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</si>
  <si>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</si>
  <si>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</si>
  <si>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</si>
  <si>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</si>
  <si>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</si>
  <si>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</si>
  <si>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</si>
  <si>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</si>
  <si>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</si>
  <si>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</si>
  <si>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</si>
  <si>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</si>
  <si>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</si>
  <si>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</si>
  <si>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</si>
  <si>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</si>
  <si>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</si>
  <si>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</si>
  <si>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</si>
  <si>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</si>
  <si>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</si>
  <si>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</si>
  <si>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</si>
  <si>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</si>
  <si>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</si>
  <si>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</si>
  <si>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</si>
  <si>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</si>
  <si>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</si>
  <si>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</si>
  <si>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</si>
  <si>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</si>
  <si>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</si>
  <si>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</si>
  <si>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</si>
  <si>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</si>
  <si>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</si>
  <si>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</si>
  <si>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</si>
  <si>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</si>
  <si>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</si>
  <si>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ASHLAND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</si>
</sst>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23</v>
      </c>
      <c r="C2" s="21">
        <v>23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301547.61+500</f>
        <v>302047.61</v>
      </c>
      <c r="G9" s="18"/>
      <c r="H9" s="18"/>
      <c r="I9" s="18"/>
      <c r="J9" s="67">
        <f>SUM(I439)</f>
        <v>141894.58000000002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1442516.22</v>
      </c>
      <c r="G12" s="18">
        <v>545965.9</v>
      </c>
      <c r="H12" s="18">
        <f>790628.07+32742.33</f>
        <v>823370.39999999991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8564.9599999999991</v>
      </c>
      <c r="G13" s="18">
        <v>10694.58</v>
      </c>
      <c r="H13" s="18">
        <v>6612.79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267.83999999999997</v>
      </c>
      <c r="G14" s="18">
        <v>-322.06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1753396.6300000001</v>
      </c>
      <c r="G19" s="41">
        <f>SUM(G9:G18)</f>
        <v>556338.41999999993</v>
      </c>
      <c r="H19" s="41">
        <f>SUM(H9:H18)</f>
        <v>829983.19</v>
      </c>
      <c r="I19" s="41">
        <f>SUM(I9:I18)</f>
        <v>0</v>
      </c>
      <c r="J19" s="41">
        <f>SUM(J9:J18)</f>
        <v>141894.58000000002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1439507.75</v>
      </c>
      <c r="G22" s="18">
        <v>549179.77</v>
      </c>
      <c r="H22" s="18">
        <f>796868.52+28677.47-2380.99</f>
        <v>823165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127376.4</v>
      </c>
      <c r="G24" s="18"/>
      <c r="H24" s="18">
        <f>372.34+1681.75</f>
        <v>2054.09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166.25+3687.05</f>
        <v>3853.3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5584.65</v>
      </c>
      <c r="G30" s="18">
        <v>100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1576322.0999999999</v>
      </c>
      <c r="G32" s="41">
        <f>SUM(G22:G31)</f>
        <v>549279.77</v>
      </c>
      <c r="H32" s="41">
        <f>SUM(H22:H31)</f>
        <v>825219.09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7058.65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4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4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>
        <f>2383.11+2380.99</f>
        <v>4764.1000000000004</v>
      </c>
      <c r="I48" s="18"/>
      <c r="J48" s="13">
        <f>SUM(I459)</f>
        <v>141894.57999999999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93912.94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177074.53-F49</f>
        <v>83161.59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177074.53</v>
      </c>
      <c r="G51" s="41">
        <f>SUM(G35:G50)</f>
        <v>7058.65</v>
      </c>
      <c r="H51" s="41">
        <f>SUM(H35:H50)</f>
        <v>4764.1000000000004</v>
      </c>
      <c r="I51" s="41">
        <f>SUM(I35:I50)</f>
        <v>0</v>
      </c>
      <c r="J51" s="41">
        <f>SUM(J35:J50)</f>
        <v>141894.57999999999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1753396.63</v>
      </c>
      <c r="G52" s="41">
        <f>G51+G32</f>
        <v>556338.42000000004</v>
      </c>
      <c r="H52" s="41">
        <f>H51+H32</f>
        <v>829983.19</v>
      </c>
      <c r="I52" s="41">
        <f>I51+I32</f>
        <v>0</v>
      </c>
      <c r="J52" s="41">
        <f>J51+J32</f>
        <v>141894.57999999999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1895675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1895675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398.17</v>
      </c>
      <c r="G96" s="18"/>
      <c r="H96" s="18"/>
      <c r="I96" s="18"/>
      <c r="J96" s="18">
        <f>3.86+200.09+71.55</f>
        <v>275.5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18491.52+250</f>
        <v>18741.52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2035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3153.76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421.45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2854.62</v>
      </c>
      <c r="G111" s="41">
        <f>SUM(G96:G110)</f>
        <v>18741.52</v>
      </c>
      <c r="H111" s="41">
        <f>SUM(H96:H110)</f>
        <v>3153.76</v>
      </c>
      <c r="I111" s="41">
        <f>SUM(I96:I110)</f>
        <v>0</v>
      </c>
      <c r="J111" s="41">
        <f>SUM(J96:J110)</f>
        <v>275.5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1898529.62</v>
      </c>
      <c r="G112" s="41">
        <f>G60+G111</f>
        <v>18741.52</v>
      </c>
      <c r="H112" s="41">
        <f>H60+H79+H94+H111</f>
        <v>3153.76</v>
      </c>
      <c r="I112" s="41">
        <f>I60+I111</f>
        <v>0</v>
      </c>
      <c r="J112" s="41">
        <f>J60+J111</f>
        <v>275.5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540478.28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396187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936665.28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4266.55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1265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4266.55</v>
      </c>
      <c r="G136" s="41">
        <f>SUM(G123:G135)</f>
        <v>1265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940931.83000000007</v>
      </c>
      <c r="G140" s="41">
        <f>G121+SUM(G136:G137)</f>
        <v>1265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2440.22+1999.99+61930.96</f>
        <v>66371.17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19383.01+3739.62</f>
        <v>23122.629999999997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47869.09+8866.99</f>
        <v>56736.079999999994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22903.98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9453.8799999999992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22903.98</v>
      </c>
      <c r="G162" s="41">
        <f>SUM(G150:G161)</f>
        <v>56736.079999999994</v>
      </c>
      <c r="H162" s="41">
        <f>SUM(H150:H161)</f>
        <v>98947.68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386.76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23290.739999999998</v>
      </c>
      <c r="G169" s="41">
        <f>G147+G162+SUM(G163:G168)</f>
        <v>56736.079999999994</v>
      </c>
      <c r="H169" s="41">
        <f>H147+H162+SUM(H163:H168)</f>
        <v>98947.68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25000</v>
      </c>
      <c r="H179" s="18"/>
      <c r="I179" s="18"/>
      <c r="J179" s="18">
        <v>20000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25000</v>
      </c>
      <c r="H183" s="41">
        <f>SUM(H179:H182)</f>
        <v>0</v>
      </c>
      <c r="I183" s="41">
        <f>SUM(I179:I182)</f>
        <v>0</v>
      </c>
      <c r="J183" s="41">
        <f>SUM(J179:J182)</f>
        <v>20000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25000</v>
      </c>
      <c r="H192" s="41">
        <f>+H183+SUM(H188:H191)</f>
        <v>0</v>
      </c>
      <c r="I192" s="41">
        <f>I177+I183+SUM(I188:I191)</f>
        <v>0</v>
      </c>
      <c r="J192" s="41">
        <f>J183</f>
        <v>20000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2862752.1900000004</v>
      </c>
      <c r="G193" s="47">
        <f>G112+G140+G169+G192</f>
        <v>101742.59999999999</v>
      </c>
      <c r="H193" s="47">
        <f>H112+H140+H169+H192</f>
        <v>102101.43999999999</v>
      </c>
      <c r="I193" s="47">
        <f>I112+I140+I169+I192</f>
        <v>0</v>
      </c>
      <c r="J193" s="47">
        <f>J112+J140+J192</f>
        <v>20275.5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861925.13</v>
      </c>
      <c r="G197" s="18">
        <v>408046.08000000002</v>
      </c>
      <c r="H197" s="18">
        <v>9919.27</v>
      </c>
      <c r="I197" s="18">
        <v>45753.919999999998</v>
      </c>
      <c r="J197" s="18">
        <v>9142.3700000000008</v>
      </c>
      <c r="K197" s="18">
        <v>205</v>
      </c>
      <c r="L197" s="19">
        <f>SUM(F197:K197)</f>
        <v>1334991.77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104495.45+2129.56</f>
        <v>106625.01</v>
      </c>
      <c r="G198" s="18">
        <f>45530.66+222.03</f>
        <v>45752.69</v>
      </c>
      <c r="H198" s="18">
        <f>140192.48+523.79</f>
        <v>140716.27000000002</v>
      </c>
      <c r="I198" s="18">
        <f>1699.59</f>
        <v>1699.59</v>
      </c>
      <c r="J198" s="18">
        <v>640.5</v>
      </c>
      <c r="K198" s="18"/>
      <c r="L198" s="19">
        <f>SUM(F198:K198)</f>
        <v>295434.06000000006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25100</v>
      </c>
      <c r="G200" s="18">
        <v>4669.8</v>
      </c>
      <c r="H200" s="18">
        <v>4854</v>
      </c>
      <c r="I200" s="18">
        <v>2430.2199999999998</v>
      </c>
      <c r="J200" s="18">
        <v>2108.35</v>
      </c>
      <c r="K200" s="18"/>
      <c r="L200" s="19">
        <f>SUM(F200:K200)</f>
        <v>39162.370000000003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46185.49+55467+4371.75</f>
        <v>106024.23999999999</v>
      </c>
      <c r="G202" s="18">
        <f>32492.34+30061.57+2508.25</f>
        <v>65062.16</v>
      </c>
      <c r="H202" s="18">
        <f>3465+733+276.85+40850.47</f>
        <v>45325.32</v>
      </c>
      <c r="I202" s="18">
        <f>1192.18+697.31+1274.62</f>
        <v>3164.1099999999997</v>
      </c>
      <c r="J202" s="18"/>
      <c r="K202" s="18">
        <v>385</v>
      </c>
      <c r="L202" s="19">
        <f t="shared" ref="L202:L208" si="0">SUM(F202:K202)</f>
        <v>219960.83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18123.75+7400+35823</f>
        <v>61346.75</v>
      </c>
      <c r="G203" s="18">
        <f>7385.34+1620.4+17078.56</f>
        <v>26084.300000000003</v>
      </c>
      <c r="H203" s="18">
        <f>17538.42+13822.78+1000</f>
        <v>32361.199999999997</v>
      </c>
      <c r="I203" s="18">
        <f>5088.64+351+9313.71</f>
        <v>14753.349999999999</v>
      </c>
      <c r="J203" s="18">
        <f>14635.76+1000.3</f>
        <v>15636.06</v>
      </c>
      <c r="K203" s="18"/>
      <c r="L203" s="19">
        <f t="shared" si="0"/>
        <v>150181.66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3740</v>
      </c>
      <c r="G204" s="18">
        <v>379.91</v>
      </c>
      <c r="H204" s="18">
        <f>4581.81+8250+3155.5+75781</f>
        <v>91768.31</v>
      </c>
      <c r="I204" s="18">
        <v>342.8</v>
      </c>
      <c r="J204" s="18"/>
      <c r="K204" s="18">
        <v>3169.38</v>
      </c>
      <c r="L204" s="19">
        <f t="shared" si="0"/>
        <v>99400.400000000009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141223.5</v>
      </c>
      <c r="G205" s="18">
        <v>34334.160000000003</v>
      </c>
      <c r="H205" s="18">
        <v>9548.5499999999993</v>
      </c>
      <c r="I205" s="18">
        <v>3006.28</v>
      </c>
      <c r="J205" s="18"/>
      <c r="K205" s="18"/>
      <c r="L205" s="19">
        <f t="shared" si="0"/>
        <v>188112.49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93395.89</v>
      </c>
      <c r="G207" s="18">
        <v>66713.850000000006</v>
      </c>
      <c r="H207" s="18">
        <f>46040.8+66160.22+2621.49</f>
        <v>114822.51000000001</v>
      </c>
      <c r="I207" s="18">
        <f>102016.54+2334.7+2356.98</f>
        <v>106708.21999999999</v>
      </c>
      <c r="J207" s="18">
        <f>6900+77744.28+3689.19</f>
        <v>88333.47</v>
      </c>
      <c r="K207" s="18"/>
      <c r="L207" s="19">
        <f t="shared" si="0"/>
        <v>469973.93999999994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43178+66156+3060+4940+4285.68</f>
        <v>121619.68</v>
      </c>
      <c r="I208" s="18"/>
      <c r="J208" s="18"/>
      <c r="K208" s="18"/>
      <c r="L208" s="19">
        <f t="shared" si="0"/>
        <v>121619.68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1399380.5199999998</v>
      </c>
      <c r="G211" s="41">
        <f t="shared" si="1"/>
        <v>651042.95000000007</v>
      </c>
      <c r="H211" s="41">
        <f t="shared" si="1"/>
        <v>570935.11</v>
      </c>
      <c r="I211" s="41">
        <f t="shared" si="1"/>
        <v>177858.49</v>
      </c>
      <c r="J211" s="41">
        <f t="shared" si="1"/>
        <v>115860.75</v>
      </c>
      <c r="K211" s="41">
        <f t="shared" si="1"/>
        <v>3759.38</v>
      </c>
      <c r="L211" s="41">
        <f t="shared" si="1"/>
        <v>2918837.2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1399380.5199999998</v>
      </c>
      <c r="G257" s="41">
        <f t="shared" si="8"/>
        <v>651042.95000000007</v>
      </c>
      <c r="H257" s="41">
        <f t="shared" si="8"/>
        <v>570935.11</v>
      </c>
      <c r="I257" s="41">
        <f t="shared" si="8"/>
        <v>177858.49</v>
      </c>
      <c r="J257" s="41">
        <f t="shared" si="8"/>
        <v>115860.75</v>
      </c>
      <c r="K257" s="41">
        <f t="shared" si="8"/>
        <v>3759.38</v>
      </c>
      <c r="L257" s="41">
        <f t="shared" si="8"/>
        <v>2918837.2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25000</v>
      </c>
      <c r="L263" s="19">
        <f>SUM(F263:K263)</f>
        <v>25000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20000</v>
      </c>
      <c r="L266" s="19">
        <f t="shared" si="9"/>
        <v>20000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45000</v>
      </c>
      <c r="L270" s="41">
        <f t="shared" si="9"/>
        <v>45000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1399380.5199999998</v>
      </c>
      <c r="G271" s="42">
        <f t="shared" si="11"/>
        <v>651042.95000000007</v>
      </c>
      <c r="H271" s="42">
        <f t="shared" si="11"/>
        <v>570935.11</v>
      </c>
      <c r="I271" s="42">
        <f t="shared" si="11"/>
        <v>177858.49</v>
      </c>
      <c r="J271" s="42">
        <f t="shared" si="11"/>
        <v>115860.75</v>
      </c>
      <c r="K271" s="42">
        <f t="shared" si="11"/>
        <v>48759.38</v>
      </c>
      <c r="L271" s="42">
        <f t="shared" si="11"/>
        <v>2963837.2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67441.399999999994</v>
      </c>
      <c r="G276" s="18">
        <v>8795.92</v>
      </c>
      <c r="H276" s="18"/>
      <c r="I276" s="18">
        <f>871.86+1821.75</f>
        <v>2693.61</v>
      </c>
      <c r="J276" s="18">
        <f>2107.42+2289.5</f>
        <v>4396.92</v>
      </c>
      <c r="K276" s="18"/>
      <c r="L276" s="19">
        <f>SUM(F276:K276)</f>
        <v>83327.849999999991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1360</v>
      </c>
      <c r="G279" s="18">
        <v>296.62</v>
      </c>
      <c r="H279" s="18"/>
      <c r="I279" s="18"/>
      <c r="J279" s="18"/>
      <c r="K279" s="18"/>
      <c r="L279" s="19">
        <f>SUM(F279:K279)</f>
        <v>1656.62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5213.29</v>
      </c>
      <c r="G282" s="18">
        <v>1072.96</v>
      </c>
      <c r="H282" s="18">
        <v>579.66999999999996</v>
      </c>
      <c r="I282" s="18"/>
      <c r="J282" s="18"/>
      <c r="K282" s="18"/>
      <c r="L282" s="19">
        <f t="shared" si="12"/>
        <v>6865.92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>
        <v>1754.66</v>
      </c>
      <c r="L283" s="19">
        <f t="shared" si="12"/>
        <v>1754.66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>
        <v>9453.8799999999992</v>
      </c>
      <c r="K286" s="18"/>
      <c r="L286" s="19">
        <f t="shared" si="12"/>
        <v>9453.8799999999992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74014.689999999988</v>
      </c>
      <c r="G290" s="42">
        <f t="shared" si="13"/>
        <v>10165.5</v>
      </c>
      <c r="H290" s="42">
        <f t="shared" si="13"/>
        <v>579.66999999999996</v>
      </c>
      <c r="I290" s="42">
        <f t="shared" si="13"/>
        <v>2693.61</v>
      </c>
      <c r="J290" s="42">
        <f t="shared" si="13"/>
        <v>13850.8</v>
      </c>
      <c r="K290" s="42">
        <f t="shared" si="13"/>
        <v>1754.66</v>
      </c>
      <c r="L290" s="41">
        <f t="shared" si="13"/>
        <v>103058.93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74014.689999999988</v>
      </c>
      <c r="G338" s="41">
        <f t="shared" si="20"/>
        <v>10165.5</v>
      </c>
      <c r="H338" s="41">
        <f t="shared" si="20"/>
        <v>579.66999999999996</v>
      </c>
      <c r="I338" s="41">
        <f t="shared" si="20"/>
        <v>2693.61</v>
      </c>
      <c r="J338" s="41">
        <f t="shared" si="20"/>
        <v>13850.8</v>
      </c>
      <c r="K338" s="41">
        <f t="shared" si="20"/>
        <v>1754.66</v>
      </c>
      <c r="L338" s="41">
        <f t="shared" si="20"/>
        <v>103058.93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74014.689999999988</v>
      </c>
      <c r="G352" s="41">
        <f>G338</f>
        <v>10165.5</v>
      </c>
      <c r="H352" s="41">
        <f>H338</f>
        <v>579.66999999999996</v>
      </c>
      <c r="I352" s="41">
        <f>I338</f>
        <v>2693.61</v>
      </c>
      <c r="J352" s="41">
        <f>J338</f>
        <v>13850.8</v>
      </c>
      <c r="K352" s="47">
        <f>K338+K351</f>
        <v>1754.66</v>
      </c>
      <c r="L352" s="41">
        <f>L338+L351</f>
        <v>103058.93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94563</v>
      </c>
      <c r="I358" s="18">
        <v>122.92</v>
      </c>
      <c r="J358" s="18"/>
      <c r="K358" s="18"/>
      <c r="L358" s="13">
        <f>SUM(F358:K358)</f>
        <v>94685.92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94563</v>
      </c>
      <c r="I362" s="47">
        <f t="shared" si="22"/>
        <v>122.92</v>
      </c>
      <c r="J362" s="47">
        <f t="shared" si="22"/>
        <v>0</v>
      </c>
      <c r="K362" s="47">
        <f t="shared" si="22"/>
        <v>0</v>
      </c>
      <c r="L362" s="47">
        <f t="shared" si="22"/>
        <v>94685.92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122.92</v>
      </c>
      <c r="G368" s="63"/>
      <c r="H368" s="63"/>
      <c r="I368" s="56">
        <f>SUM(F368:H368)</f>
        <v>122.92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122.92</v>
      </c>
      <c r="G369" s="47">
        <f>SUM(G367:G368)</f>
        <v>0</v>
      </c>
      <c r="H369" s="47">
        <f>SUM(H367:H368)</f>
        <v>0</v>
      </c>
      <c r="I369" s="47">
        <f>SUM(I367:I368)</f>
        <v>122.92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>
        <v>3.86</v>
      </c>
      <c r="I395" s="18"/>
      <c r="J395" s="24" t="s">
        <v>289</v>
      </c>
      <c r="K395" s="24" t="s">
        <v>289</v>
      </c>
      <c r="L395" s="56">
        <f t="shared" ref="L395:L400" si="26">SUM(F395:K395)</f>
        <v>3.86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20000</v>
      </c>
      <c r="H396" s="18">
        <v>71.55</v>
      </c>
      <c r="I396" s="18"/>
      <c r="J396" s="24" t="s">
        <v>289</v>
      </c>
      <c r="K396" s="24" t="s">
        <v>289</v>
      </c>
      <c r="L396" s="56">
        <f t="shared" si="26"/>
        <v>20071.55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200.09</v>
      </c>
      <c r="I397" s="18"/>
      <c r="J397" s="24" t="s">
        <v>289</v>
      </c>
      <c r="K397" s="24" t="s">
        <v>289</v>
      </c>
      <c r="L397" s="56">
        <f t="shared" si="26"/>
        <v>200.09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20000</v>
      </c>
      <c r="H401" s="47">
        <f>SUM(H395:H400)</f>
        <v>275.5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20275.5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20000</v>
      </c>
      <c r="H408" s="47">
        <f>H393+H401+H407</f>
        <v>275.5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20275.5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45001.54+66805.88+30087.16</f>
        <v>141894.58000000002</v>
      </c>
      <c r="H439" s="18"/>
      <c r="I439" s="56">
        <f t="shared" ref="I439:I445" si="33">SUM(F439:H439)</f>
        <v>141894.58000000002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141894.58000000002</v>
      </c>
      <c r="H446" s="13">
        <f>SUM(H439:H445)</f>
        <v>0</v>
      </c>
      <c r="I446" s="13">
        <f>SUM(I439:I445)</f>
        <v>141894.58000000002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141894.57999999999</v>
      </c>
      <c r="H459" s="18"/>
      <c r="I459" s="56">
        <f t="shared" si="34"/>
        <v>141894.57999999999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141894.57999999999</v>
      </c>
      <c r="H460" s="83">
        <f>SUM(H454:H459)</f>
        <v>0</v>
      </c>
      <c r="I460" s="83">
        <f>SUM(I454:I459)</f>
        <v>141894.57999999999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141894.57999999999</v>
      </c>
      <c r="H461" s="42">
        <f>H452+H460</f>
        <v>0</v>
      </c>
      <c r="I461" s="42">
        <f>I452+I460</f>
        <v>141894.57999999999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278159.54000000004</v>
      </c>
      <c r="G465" s="18">
        <v>1.9700000000011642</v>
      </c>
      <c r="H465" s="18">
        <v>5721.589999999982</v>
      </c>
      <c r="I465" s="18">
        <v>0</v>
      </c>
      <c r="J465" s="18">
        <v>121619.08000000002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2862752.19</v>
      </c>
      <c r="G468" s="18">
        <v>101742.6</v>
      </c>
      <c r="H468" s="18">
        <f>98947.68+3153.76</f>
        <v>102101.43999999999</v>
      </c>
      <c r="I468" s="18"/>
      <c r="J468" s="18">
        <f>3.86+200.09+20071.55</f>
        <v>20275.5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2862752.19</v>
      </c>
      <c r="G470" s="53">
        <f>SUM(G468:G469)</f>
        <v>101742.6</v>
      </c>
      <c r="H470" s="53">
        <f>SUM(H468:H469)</f>
        <v>102101.43999999999</v>
      </c>
      <c r="I470" s="53">
        <f>SUM(I468:I469)</f>
        <v>0</v>
      </c>
      <c r="J470" s="53">
        <f>SUM(J468:J469)</f>
        <v>20275.5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2963837.2</v>
      </c>
      <c r="G472" s="18">
        <v>94685.92</v>
      </c>
      <c r="H472" s="18">
        <f>98947.68+4111.25</f>
        <v>103058.93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2963837.2</v>
      </c>
      <c r="G474" s="53">
        <f>SUM(G472:G473)</f>
        <v>94685.92</v>
      </c>
      <c r="H474" s="53">
        <f>SUM(H472:H473)</f>
        <v>103058.93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177074.5299999998</v>
      </c>
      <c r="G476" s="53">
        <f>(G465+G470)- G474</f>
        <v>7058.6500000000087</v>
      </c>
      <c r="H476" s="53">
        <f>(H465+H470)- H474</f>
        <v>4764.0999999999767</v>
      </c>
      <c r="I476" s="53">
        <f>(I465+I470)- I474</f>
        <v>0</v>
      </c>
      <c r="J476" s="53">
        <f>(J465+J470)- J474</f>
        <v>141894.58000000002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106625.01</v>
      </c>
      <c r="G521" s="18">
        <v>45752.69</v>
      </c>
      <c r="H521" s="18">
        <v>140716.27000000002</v>
      </c>
      <c r="I521" s="18">
        <v>1699.59</v>
      </c>
      <c r="J521" s="18">
        <v>640.5</v>
      </c>
      <c r="K521" s="18"/>
      <c r="L521" s="88">
        <f>SUM(F521:K521)</f>
        <v>295434.06000000006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106625.01</v>
      </c>
      <c r="G524" s="108">
        <f t="shared" ref="G524:L524" si="36">SUM(G521:G523)</f>
        <v>45752.69</v>
      </c>
      <c r="H524" s="108">
        <f t="shared" si="36"/>
        <v>140716.27000000002</v>
      </c>
      <c r="I524" s="108">
        <f t="shared" si="36"/>
        <v>1699.59</v>
      </c>
      <c r="J524" s="108">
        <f t="shared" si="36"/>
        <v>640.5</v>
      </c>
      <c r="K524" s="108">
        <f t="shared" si="36"/>
        <v>0</v>
      </c>
      <c r="L524" s="89">
        <f t="shared" si="36"/>
        <v>295434.06000000006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24702.25</v>
      </c>
      <c r="G526" s="18">
        <v>15019.03</v>
      </c>
      <c r="H526" s="18">
        <v>41966.92</v>
      </c>
      <c r="I526" s="18">
        <v>1652.52</v>
      </c>
      <c r="J526" s="18"/>
      <c r="K526" s="18">
        <v>77</v>
      </c>
      <c r="L526" s="88">
        <f>SUM(F526:K526)</f>
        <v>83417.72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24702.25</v>
      </c>
      <c r="G529" s="89">
        <f t="shared" ref="G529:L529" si="37">SUM(G526:G528)</f>
        <v>15019.03</v>
      </c>
      <c r="H529" s="89">
        <f t="shared" si="37"/>
        <v>41966.92</v>
      </c>
      <c r="I529" s="89">
        <f t="shared" si="37"/>
        <v>1652.52</v>
      </c>
      <c r="J529" s="89">
        <f t="shared" si="37"/>
        <v>0</v>
      </c>
      <c r="K529" s="89">
        <f t="shared" si="37"/>
        <v>77</v>
      </c>
      <c r="L529" s="89">
        <f t="shared" si="37"/>
        <v>83417.72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11241.55</v>
      </c>
      <c r="I531" s="18"/>
      <c r="J531" s="18"/>
      <c r="K531" s="18"/>
      <c r="L531" s="88">
        <f>SUM(F531:K531)</f>
        <v>11241.55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11241.55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11241.55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152</v>
      </c>
      <c r="I536" s="18"/>
      <c r="J536" s="18"/>
      <c r="K536" s="18"/>
      <c r="L536" s="88">
        <f>SUM(F536:K536)</f>
        <v>152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152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152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66156</v>
      </c>
      <c r="I541" s="18"/>
      <c r="J541" s="18"/>
      <c r="K541" s="18"/>
      <c r="L541" s="88">
        <f>SUM(F541:K541)</f>
        <v>66156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66156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66156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131327.26</v>
      </c>
      <c r="G545" s="89">
        <f t="shared" ref="G545:L545" si="41">G524+G529+G534+G539+G544</f>
        <v>60771.72</v>
      </c>
      <c r="H545" s="89">
        <f t="shared" si="41"/>
        <v>260232.74</v>
      </c>
      <c r="I545" s="89">
        <f t="shared" si="41"/>
        <v>3352.1099999999997</v>
      </c>
      <c r="J545" s="89">
        <f t="shared" si="41"/>
        <v>640.5</v>
      </c>
      <c r="K545" s="89">
        <f t="shared" si="41"/>
        <v>77</v>
      </c>
      <c r="L545" s="89">
        <f t="shared" si="41"/>
        <v>456401.33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295434.06000000006</v>
      </c>
      <c r="G549" s="87">
        <f>L526</f>
        <v>83417.72</v>
      </c>
      <c r="H549" s="87">
        <f>L531</f>
        <v>11241.55</v>
      </c>
      <c r="I549" s="87">
        <f>L536</f>
        <v>152</v>
      </c>
      <c r="J549" s="87">
        <f>L541</f>
        <v>66156</v>
      </c>
      <c r="K549" s="87">
        <f>SUM(F549:J549)</f>
        <v>456401.33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295434.06000000006</v>
      </c>
      <c r="G552" s="89">
        <f t="shared" si="42"/>
        <v>83417.72</v>
      </c>
      <c r="H552" s="89">
        <f t="shared" si="42"/>
        <v>11241.55</v>
      </c>
      <c r="I552" s="89">
        <f t="shared" si="42"/>
        <v>152</v>
      </c>
      <c r="J552" s="89">
        <f t="shared" si="42"/>
        <v>66156</v>
      </c>
      <c r="K552" s="89">
        <f t="shared" si="42"/>
        <v>456401.33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51350.03</v>
      </c>
      <c r="G579" s="18"/>
      <c r="H579" s="18"/>
      <c r="I579" s="87">
        <f t="shared" si="47"/>
        <v>51350.03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86592.93</v>
      </c>
      <c r="G582" s="18"/>
      <c r="H582" s="18"/>
      <c r="I582" s="87">
        <f t="shared" si="47"/>
        <v>86592.93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43178</v>
      </c>
      <c r="I591" s="18"/>
      <c r="J591" s="18"/>
      <c r="K591" s="104">
        <f t="shared" ref="K591:K597" si="48">SUM(H591:J591)</f>
        <v>43178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66156</v>
      </c>
      <c r="I592" s="18"/>
      <c r="J592" s="18"/>
      <c r="K592" s="104">
        <f t="shared" si="48"/>
        <v>66156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3060</v>
      </c>
      <c r="I594" s="18"/>
      <c r="J594" s="18"/>
      <c r="K594" s="104">
        <f t="shared" si="48"/>
        <v>3060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4940</v>
      </c>
      <c r="I595" s="18"/>
      <c r="J595" s="18"/>
      <c r="K595" s="104">
        <f t="shared" si="48"/>
        <v>4940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4285.68</v>
      </c>
      <c r="I597" s="18"/>
      <c r="J597" s="18"/>
      <c r="K597" s="104">
        <f t="shared" si="48"/>
        <v>4285.68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121619.68</v>
      </c>
      <c r="I598" s="108">
        <f>SUM(I591:I597)</f>
        <v>0</v>
      </c>
      <c r="J598" s="108">
        <f>SUM(J591:J597)</f>
        <v>0</v>
      </c>
      <c r="K598" s="108">
        <f>SUM(K591:K597)</f>
        <v>121619.68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129711.55</v>
      </c>
      <c r="I604" s="18"/>
      <c r="J604" s="18"/>
      <c r="K604" s="104">
        <f>SUM(H604:J604)</f>
        <v>129711.55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129711.55</v>
      </c>
      <c r="I605" s="108">
        <f>SUM(I602:I604)</f>
        <v>0</v>
      </c>
      <c r="J605" s="108">
        <f>SUM(J602:J604)</f>
        <v>0</v>
      </c>
      <c r="K605" s="108">
        <f>SUM(K602:K604)</f>
        <v>129711.55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1360</v>
      </c>
      <c r="G611" s="18">
        <v>296.62</v>
      </c>
      <c r="H611" s="18"/>
      <c r="I611" s="18"/>
      <c r="J611" s="18"/>
      <c r="K611" s="18"/>
      <c r="L611" s="88">
        <f>SUM(F611:K611)</f>
        <v>1656.62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1360</v>
      </c>
      <c r="G614" s="108">
        <f t="shared" si="49"/>
        <v>296.62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1656.62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1753396.6300000001</v>
      </c>
      <c r="H617" s="109">
        <f>SUM(F52)</f>
        <v>1753396.63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556338.41999999993</v>
      </c>
      <c r="H618" s="109">
        <f>SUM(G52)</f>
        <v>556338.42000000004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829983.19</v>
      </c>
      <c r="H619" s="109">
        <f>SUM(H52)</f>
        <v>829983.19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141894.58000000002</v>
      </c>
      <c r="H621" s="109">
        <f>SUM(J52)</f>
        <v>141894.57999999999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177074.53</v>
      </c>
      <c r="H622" s="109">
        <f>F476</f>
        <v>177074.5299999998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7058.65</v>
      </c>
      <c r="H623" s="109">
        <f>G476</f>
        <v>7058.6500000000087</v>
      </c>
      <c r="I623" s="121" t="s">
        <v>102</v>
      </c>
      <c r="J623" s="109">
        <f t="shared" si="50"/>
        <v>-9.0949470177292824E-12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4764.1000000000004</v>
      </c>
      <c r="H624" s="109">
        <f>H476</f>
        <v>4764.0999999999767</v>
      </c>
      <c r="I624" s="121" t="s">
        <v>103</v>
      </c>
      <c r="J624" s="109">
        <f t="shared" si="50"/>
        <v>2.3646862246096134E-11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141894.57999999999</v>
      </c>
      <c r="H626" s="109">
        <f>J476</f>
        <v>141894.58000000002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2862752.1900000004</v>
      </c>
      <c r="H627" s="104">
        <f>SUM(F468)</f>
        <v>2862752.19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101742.59999999999</v>
      </c>
      <c r="H628" s="104">
        <f>SUM(G468)</f>
        <v>101742.6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102101.43999999999</v>
      </c>
      <c r="H629" s="104">
        <f>SUM(H468)</f>
        <v>102101.43999999999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20275.5</v>
      </c>
      <c r="H631" s="104">
        <f>SUM(J468)</f>
        <v>20275.5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2963837.2</v>
      </c>
      <c r="H632" s="104">
        <f>SUM(F472)</f>
        <v>2963837.2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103058.93</v>
      </c>
      <c r="H633" s="104">
        <f>SUM(H472)</f>
        <v>103058.93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122.92</v>
      </c>
      <c r="H634" s="104">
        <f>I369</f>
        <v>122.92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94685.92</v>
      </c>
      <c r="H635" s="104">
        <f>SUM(G472)</f>
        <v>94685.92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20275.5</v>
      </c>
      <c r="H637" s="164">
        <f>SUM(J468)</f>
        <v>20275.5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141894.58000000002</v>
      </c>
      <c r="H640" s="104">
        <f>SUM(G461)</f>
        <v>141894.57999999999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141894.58000000002</v>
      </c>
      <c r="H642" s="104">
        <f>SUM(I461)</f>
        <v>141894.57999999999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275.5</v>
      </c>
      <c r="H644" s="104">
        <f>H408</f>
        <v>275.5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20000</v>
      </c>
      <c r="H645" s="104">
        <f>G408</f>
        <v>20000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20275.5</v>
      </c>
      <c r="H646" s="104">
        <f>L408</f>
        <v>20275.5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121619.68</v>
      </c>
      <c r="H647" s="104">
        <f>L208+L226+L244</f>
        <v>121619.68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129711.55</v>
      </c>
      <c r="H648" s="104">
        <f>(J257+J338)-(J255+J336)</f>
        <v>129711.55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121619.68</v>
      </c>
      <c r="H649" s="104">
        <f>H598</f>
        <v>121619.68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0</v>
      </c>
      <c r="H651" s="104">
        <f>J598</f>
        <v>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25000</v>
      </c>
      <c r="H652" s="104">
        <f>K263+K345</f>
        <v>25000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20000</v>
      </c>
      <c r="H655" s="104">
        <f>K266+K347</f>
        <v>20000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3116582.0500000003</v>
      </c>
      <c r="G660" s="19">
        <f>(L229+L309+L359)</f>
        <v>0</v>
      </c>
      <c r="H660" s="19">
        <f>(L247+L328+L360)</f>
        <v>0</v>
      </c>
      <c r="I660" s="19">
        <f>SUM(F660:H660)</f>
        <v>3116582.0500000003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18741.52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18741.52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121619.68</v>
      </c>
      <c r="G662" s="19">
        <f>(L226+L306)-(J226+J306)</f>
        <v>0</v>
      </c>
      <c r="H662" s="19">
        <f>(L244+L325)-(J244+J325)</f>
        <v>0</v>
      </c>
      <c r="I662" s="19">
        <f>SUM(F662:H662)</f>
        <v>121619.68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269311.13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269311.13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2706909.72</v>
      </c>
      <c r="G664" s="19">
        <f>G660-SUM(G661:G663)</f>
        <v>0</v>
      </c>
      <c r="H664" s="19">
        <f>H660-SUM(H661:H663)</f>
        <v>0</v>
      </c>
      <c r="I664" s="19">
        <f>I660-SUM(I661:I663)</f>
        <v>2706909.72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160.59</v>
      </c>
      <c r="G665" s="248"/>
      <c r="H665" s="248"/>
      <c r="I665" s="19">
        <f>SUM(F665:H665)</f>
        <v>160.59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16856.03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16856.03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16856.03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16856.03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ASHLAND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929366.53</v>
      </c>
      <c r="C9" s="229">
        <f>'DOE25'!G197+'DOE25'!G215+'DOE25'!G233+'DOE25'!G276+'DOE25'!G295+'DOE25'!G314</f>
        <v>416842</v>
      </c>
    </row>
    <row r="10" spans="1:3" x14ac:dyDescent="0.2">
      <c r="A10" t="s">
        <v>779</v>
      </c>
      <c r="B10" s="240">
        <v>889154.82</v>
      </c>
      <c r="C10" s="240">
        <v>402631.28</v>
      </c>
    </row>
    <row r="11" spans="1:3" x14ac:dyDescent="0.2">
      <c r="A11" t="s">
        <v>780</v>
      </c>
      <c r="B11" s="240">
        <v>20023.599999999999</v>
      </c>
      <c r="C11" s="240">
        <v>12585.58</v>
      </c>
    </row>
    <row r="12" spans="1:3" x14ac:dyDescent="0.2">
      <c r="A12" t="s">
        <v>781</v>
      </c>
      <c r="B12" s="240">
        <v>20188.11</v>
      </c>
      <c r="C12" s="240">
        <v>1625.14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929366.52999999991</v>
      </c>
      <c r="C13" s="231">
        <f>SUM(C10:C12)</f>
        <v>416842.00000000006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106625.01</v>
      </c>
      <c r="C18" s="229">
        <f>'DOE25'!G198+'DOE25'!G216+'DOE25'!G234+'DOE25'!G277+'DOE25'!G296+'DOE25'!G315</f>
        <v>45752.69</v>
      </c>
    </row>
    <row r="19" spans="1:3" x14ac:dyDescent="0.2">
      <c r="A19" t="s">
        <v>779</v>
      </c>
      <c r="B19" s="240">
        <v>59304.56</v>
      </c>
      <c r="C19" s="240">
        <v>30993.69</v>
      </c>
    </row>
    <row r="20" spans="1:3" x14ac:dyDescent="0.2">
      <c r="A20" t="s">
        <v>780</v>
      </c>
      <c r="B20" s="240">
        <v>40739.199999999997</v>
      </c>
      <c r="C20" s="240">
        <v>14229.21</v>
      </c>
    </row>
    <row r="21" spans="1:3" x14ac:dyDescent="0.2">
      <c r="A21" t="s">
        <v>781</v>
      </c>
      <c r="B21" s="240">
        <v>6581.25</v>
      </c>
      <c r="C21" s="240">
        <v>529.79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106625.01</v>
      </c>
      <c r="C22" s="231">
        <f>SUM(C19:C21)</f>
        <v>45752.689999999995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26460</v>
      </c>
      <c r="C36" s="235">
        <f>'DOE25'!G200+'DOE25'!G218+'DOE25'!G236+'DOE25'!G279+'DOE25'!G298+'DOE25'!G317</f>
        <v>4966.42</v>
      </c>
    </row>
    <row r="37" spans="1:3" x14ac:dyDescent="0.2">
      <c r="A37" t="s">
        <v>779</v>
      </c>
      <c r="B37" s="240">
        <v>1360</v>
      </c>
      <c r="C37" s="240">
        <v>296.62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25100</v>
      </c>
      <c r="C39" s="240">
        <v>4669.8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26460</v>
      </c>
      <c r="C40" s="231">
        <f>SUM(C37:C39)</f>
        <v>4966.42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0" sqref="D1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ASHLAND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1669588.2000000002</v>
      </c>
      <c r="D5" s="20">
        <f>SUM('DOE25'!L197:L200)+SUM('DOE25'!L215:L218)+SUM('DOE25'!L233:L236)-F5-G5</f>
        <v>1657491.9800000002</v>
      </c>
      <c r="E5" s="243"/>
      <c r="F5" s="255">
        <f>SUM('DOE25'!J197:J200)+SUM('DOE25'!J215:J218)+SUM('DOE25'!J233:J236)</f>
        <v>11891.220000000001</v>
      </c>
      <c r="G5" s="53">
        <f>SUM('DOE25'!K197:K200)+SUM('DOE25'!K215:K218)+SUM('DOE25'!K233:K236)</f>
        <v>205</v>
      </c>
      <c r="H5" s="259"/>
    </row>
    <row r="6" spans="1:9" x14ac:dyDescent="0.2">
      <c r="A6" s="32">
        <v>2100</v>
      </c>
      <c r="B6" t="s">
        <v>801</v>
      </c>
      <c r="C6" s="245">
        <f t="shared" si="0"/>
        <v>219960.83</v>
      </c>
      <c r="D6" s="20">
        <f>'DOE25'!L202+'DOE25'!L220+'DOE25'!L238-F6-G6</f>
        <v>219575.83</v>
      </c>
      <c r="E6" s="243"/>
      <c r="F6" s="255">
        <f>'DOE25'!J202+'DOE25'!J220+'DOE25'!J238</f>
        <v>0</v>
      </c>
      <c r="G6" s="53">
        <f>'DOE25'!K202+'DOE25'!K220+'DOE25'!K238</f>
        <v>385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150181.66</v>
      </c>
      <c r="D7" s="20">
        <f>'DOE25'!L203+'DOE25'!L221+'DOE25'!L239-F7-G7</f>
        <v>134545.60000000001</v>
      </c>
      <c r="E7" s="243"/>
      <c r="F7" s="255">
        <f>'DOE25'!J203+'DOE25'!J221+'DOE25'!J239</f>
        <v>15636.06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53372.220000000008</v>
      </c>
      <c r="D8" s="243"/>
      <c r="E8" s="20">
        <f>'DOE25'!L204+'DOE25'!L222+'DOE25'!L240-F8-G8-D9-D11</f>
        <v>50202.840000000011</v>
      </c>
      <c r="F8" s="255">
        <f>'DOE25'!J204+'DOE25'!J222+'DOE25'!J240</f>
        <v>0</v>
      </c>
      <c r="G8" s="53">
        <f>'DOE25'!K204+'DOE25'!K222+'DOE25'!K240</f>
        <v>3169.38</v>
      </c>
      <c r="H8" s="259"/>
    </row>
    <row r="9" spans="1:9" x14ac:dyDescent="0.2">
      <c r="A9" s="32">
        <v>2310</v>
      </c>
      <c r="B9" t="s">
        <v>818</v>
      </c>
      <c r="C9" s="245">
        <f t="shared" si="0"/>
        <v>12213.9</v>
      </c>
      <c r="D9" s="244">
        <v>12213.9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8250</v>
      </c>
      <c r="D10" s="243"/>
      <c r="E10" s="244">
        <v>8250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33814.28</v>
      </c>
      <c r="D11" s="244">
        <v>33814.28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188112.49</v>
      </c>
      <c r="D12" s="20">
        <f>'DOE25'!L205+'DOE25'!L223+'DOE25'!L241-F12-G12</f>
        <v>188112.49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469973.93999999994</v>
      </c>
      <c r="D14" s="20">
        <f>'DOE25'!L207+'DOE25'!L225+'DOE25'!L243-F14-G14</f>
        <v>381640.47</v>
      </c>
      <c r="E14" s="243"/>
      <c r="F14" s="255">
        <f>'DOE25'!J207+'DOE25'!J225+'DOE25'!J243</f>
        <v>88333.47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121619.68</v>
      </c>
      <c r="D15" s="20">
        <f>'DOE25'!L208+'DOE25'!L226+'DOE25'!L244-F15-G15</f>
        <v>121619.68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94685.92</v>
      </c>
      <c r="D29" s="20">
        <f>'DOE25'!L358+'DOE25'!L359+'DOE25'!L360-'DOE25'!I367-F29-G29</f>
        <v>94685.92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103058.93</v>
      </c>
      <c r="D31" s="20">
        <f>'DOE25'!L290+'DOE25'!L309+'DOE25'!L328+'DOE25'!L333+'DOE25'!L334+'DOE25'!L335-F31-G31</f>
        <v>87453.469999999987</v>
      </c>
      <c r="E31" s="243"/>
      <c r="F31" s="255">
        <f>'DOE25'!J290+'DOE25'!J309+'DOE25'!J328+'DOE25'!J333+'DOE25'!J334+'DOE25'!J335</f>
        <v>13850.8</v>
      </c>
      <c r="G31" s="53">
        <f>'DOE25'!K290+'DOE25'!K309+'DOE25'!K328+'DOE25'!K333+'DOE25'!K334+'DOE25'!K335</f>
        <v>1754.66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2931153.62</v>
      </c>
      <c r="E33" s="246">
        <f>SUM(E5:E31)</f>
        <v>58452.840000000011</v>
      </c>
      <c r="F33" s="246">
        <f>SUM(F5:F31)</f>
        <v>129711.55</v>
      </c>
      <c r="G33" s="246">
        <f>SUM(G5:G31)</f>
        <v>5514.04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58452.840000000011</v>
      </c>
      <c r="E35" s="249"/>
    </row>
    <row r="36" spans="2:8" ht="12" thickTop="1" x14ac:dyDescent="0.2">
      <c r="B36" t="s">
        <v>815</v>
      </c>
      <c r="D36" s="20">
        <f>D33</f>
        <v>2931153.62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4" activePane="bottomLeft" state="frozen"/>
      <selection activeCell="F46" sqref="F46"/>
      <selection pane="bottomLeft" activeCell="C44" sqref="C44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ASHLAND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302047.61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141894.58000000002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1442516.22</v>
      </c>
      <c r="D11" s="95">
        <f>'DOE25'!G12</f>
        <v>545965.9</v>
      </c>
      <c r="E11" s="95">
        <f>'DOE25'!H12</f>
        <v>823370.39999999991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8564.9599999999991</v>
      </c>
      <c r="D12" s="95">
        <f>'DOE25'!G13</f>
        <v>10694.58</v>
      </c>
      <c r="E12" s="95">
        <f>'DOE25'!H13</f>
        <v>6612.79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267.83999999999997</v>
      </c>
      <c r="D13" s="95">
        <f>'DOE25'!G14</f>
        <v>-322.06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1753396.6300000001</v>
      </c>
      <c r="D18" s="41">
        <f>SUM(D8:D17)</f>
        <v>556338.41999999993</v>
      </c>
      <c r="E18" s="41">
        <f>SUM(E8:E17)</f>
        <v>829983.19</v>
      </c>
      <c r="F18" s="41">
        <f>SUM(F8:F17)</f>
        <v>0</v>
      </c>
      <c r="G18" s="41">
        <f>SUM(G8:G17)</f>
        <v>141894.58000000002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1439507.75</v>
      </c>
      <c r="D21" s="95">
        <f>'DOE25'!G22</f>
        <v>549179.77</v>
      </c>
      <c r="E21" s="95">
        <f>'DOE25'!H22</f>
        <v>823165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127376.4</v>
      </c>
      <c r="D23" s="95">
        <f>'DOE25'!G24</f>
        <v>0</v>
      </c>
      <c r="E23" s="95">
        <f>'DOE25'!H24</f>
        <v>2054.09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3853.3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5584.65</v>
      </c>
      <c r="D29" s="95">
        <f>'DOE25'!G30</f>
        <v>100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1576322.0999999999</v>
      </c>
      <c r="D31" s="41">
        <f>SUM(D21:D30)</f>
        <v>549279.77</v>
      </c>
      <c r="E31" s="41">
        <f>SUM(E21:E30)</f>
        <v>825219.09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7058.65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4764.1000000000004</v>
      </c>
      <c r="F47" s="95">
        <f>'DOE25'!I48</f>
        <v>0</v>
      </c>
      <c r="G47" s="95">
        <f>'DOE25'!J48</f>
        <v>141894.57999999999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93912.94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83161.59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177074.53</v>
      </c>
      <c r="D50" s="41">
        <f>SUM(D34:D49)</f>
        <v>7058.65</v>
      </c>
      <c r="E50" s="41">
        <f>SUM(E34:E49)</f>
        <v>4764.1000000000004</v>
      </c>
      <c r="F50" s="41">
        <f>SUM(F34:F49)</f>
        <v>0</v>
      </c>
      <c r="G50" s="41">
        <f>SUM(G34:G49)</f>
        <v>141894.57999999999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1753396.63</v>
      </c>
      <c r="D51" s="41">
        <f>D50+D31</f>
        <v>556338.42000000004</v>
      </c>
      <c r="E51" s="41">
        <f>E50+E31</f>
        <v>829983.19</v>
      </c>
      <c r="F51" s="41">
        <f>F50+F31</f>
        <v>0</v>
      </c>
      <c r="G51" s="41">
        <f>G50+G31</f>
        <v>141894.57999999999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1895675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398.17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275.5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18741.52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2456.4499999999998</v>
      </c>
      <c r="D61" s="95">
        <f>SUM('DOE25'!G98:G110)</f>
        <v>0</v>
      </c>
      <c r="E61" s="95">
        <f>SUM('DOE25'!H98:H110)</f>
        <v>3153.76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2854.62</v>
      </c>
      <c r="D62" s="130">
        <f>SUM(D57:D61)</f>
        <v>18741.52</v>
      </c>
      <c r="E62" s="130">
        <f>SUM(E57:E61)</f>
        <v>3153.76</v>
      </c>
      <c r="F62" s="130">
        <f>SUM(F57:F61)</f>
        <v>0</v>
      </c>
      <c r="G62" s="130">
        <f>SUM(G57:G61)</f>
        <v>275.5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1898529.62</v>
      </c>
      <c r="D63" s="22">
        <f>D56+D62</f>
        <v>18741.52</v>
      </c>
      <c r="E63" s="22">
        <f>E56+E62</f>
        <v>3153.76</v>
      </c>
      <c r="F63" s="22">
        <f>F56+F62</f>
        <v>0</v>
      </c>
      <c r="G63" s="22">
        <f>G56+G62</f>
        <v>275.5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540478.28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396187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936665.28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4266.55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1265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4266.55</v>
      </c>
      <c r="D78" s="130">
        <f>SUM(D72:D77)</f>
        <v>1265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940931.83000000007</v>
      </c>
      <c r="D81" s="130">
        <f>SUM(D79:D80)+D78+D70</f>
        <v>1265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22903.98</v>
      </c>
      <c r="D88" s="95">
        <f>SUM('DOE25'!G153:G161)</f>
        <v>56736.079999999994</v>
      </c>
      <c r="E88" s="95">
        <f>SUM('DOE25'!H153:H161)</f>
        <v>98947.68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386.76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23290.739999999998</v>
      </c>
      <c r="D91" s="131">
        <f>SUM(D85:D90)</f>
        <v>56736.079999999994</v>
      </c>
      <c r="E91" s="131">
        <f>SUM(E85:E90)</f>
        <v>98947.68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25000</v>
      </c>
      <c r="E96" s="95">
        <f>'DOE25'!H179</f>
        <v>0</v>
      </c>
      <c r="F96" s="95">
        <f>'DOE25'!I179</f>
        <v>0</v>
      </c>
      <c r="G96" s="95">
        <f>'DOE25'!J179</f>
        <v>20000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25000</v>
      </c>
      <c r="E103" s="86">
        <f>SUM(E93:E102)</f>
        <v>0</v>
      </c>
      <c r="F103" s="86">
        <f>SUM(F93:F102)</f>
        <v>0</v>
      </c>
      <c r="G103" s="86">
        <f>SUM(G93:G102)</f>
        <v>20000</v>
      </c>
    </row>
    <row r="104" spans="1:7" ht="12.75" thickTop="1" thickBot="1" x14ac:dyDescent="0.25">
      <c r="A104" s="33" t="s">
        <v>765</v>
      </c>
      <c r="C104" s="86">
        <f>C63+C81+C91+C103</f>
        <v>2862752.1900000004</v>
      </c>
      <c r="D104" s="86">
        <f>D63+D81+D91+D103</f>
        <v>101742.59999999999</v>
      </c>
      <c r="E104" s="86">
        <f>E63+E81+E91+E103</f>
        <v>102101.43999999999</v>
      </c>
      <c r="F104" s="86">
        <f>F63+F81+F91+F103</f>
        <v>0</v>
      </c>
      <c r="G104" s="86">
        <f>G63+G81+G103</f>
        <v>20275.5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1334991.77</v>
      </c>
      <c r="D109" s="24" t="s">
        <v>289</v>
      </c>
      <c r="E109" s="95">
        <f>('DOE25'!L276)+('DOE25'!L295)+('DOE25'!L314)</f>
        <v>83327.849999999991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295434.06000000006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39162.370000000003</v>
      </c>
      <c r="D112" s="24" t="s">
        <v>289</v>
      </c>
      <c r="E112" s="95">
        <f>+('DOE25'!L279)+('DOE25'!L298)+('DOE25'!L317)</f>
        <v>1656.62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1669588.2000000002</v>
      </c>
      <c r="D115" s="86">
        <f>SUM(D109:D114)</f>
        <v>0</v>
      </c>
      <c r="E115" s="86">
        <f>SUM(E109:E114)</f>
        <v>84984.469999999987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219960.83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150181.66</v>
      </c>
      <c r="D119" s="24" t="s">
        <v>289</v>
      </c>
      <c r="E119" s="95">
        <f>+('DOE25'!L282)+('DOE25'!L301)+('DOE25'!L320)</f>
        <v>6865.92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99400.400000000009</v>
      </c>
      <c r="D120" s="24" t="s">
        <v>289</v>
      </c>
      <c r="E120" s="95">
        <f>+('DOE25'!L283)+('DOE25'!L302)+('DOE25'!L321)</f>
        <v>1754.66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188112.49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469973.93999999994</v>
      </c>
      <c r="D123" s="24" t="s">
        <v>289</v>
      </c>
      <c r="E123" s="95">
        <f>+('DOE25'!L286)+('DOE25'!L305)+('DOE25'!L324)</f>
        <v>9453.8799999999992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121619.68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94685.92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1249248.9999999998</v>
      </c>
      <c r="D128" s="86">
        <f>SUM(D118:D127)</f>
        <v>94685.92</v>
      </c>
      <c r="E128" s="86">
        <f>SUM(E118:E127)</f>
        <v>18074.46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25000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20275.5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-275.5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45000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2963837.2</v>
      </c>
      <c r="D145" s="86">
        <f>(D115+D128+D144)</f>
        <v>94685.92</v>
      </c>
      <c r="E145" s="86">
        <f>(E115+E128+E144)</f>
        <v>103058.93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ASHLAND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16856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16856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1418320</v>
      </c>
      <c r="D10" s="182">
        <f>ROUND((C10/$C$28)*100,1)</f>
        <v>45.8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295434</v>
      </c>
      <c r="D11" s="182">
        <f>ROUND((C11/$C$28)*100,1)</f>
        <v>9.5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40819</v>
      </c>
      <c r="D13" s="182">
        <f>ROUND((C13/$C$28)*100,1)</f>
        <v>1.3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219961</v>
      </c>
      <c r="D15" s="182">
        <f t="shared" ref="D15:D27" si="0">ROUND((C15/$C$28)*100,1)</f>
        <v>7.1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157048</v>
      </c>
      <c r="D16" s="182">
        <f t="shared" si="0"/>
        <v>5.0999999999999996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101155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188112</v>
      </c>
      <c r="D18" s="182">
        <f t="shared" si="0"/>
        <v>6.1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479428</v>
      </c>
      <c r="D20" s="182">
        <f t="shared" si="0"/>
        <v>15.5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121620</v>
      </c>
      <c r="D21" s="182">
        <f t="shared" si="0"/>
        <v>3.9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75944.479999999996</v>
      </c>
      <c r="D27" s="182">
        <f t="shared" si="0"/>
        <v>2.5</v>
      </c>
    </row>
    <row r="28" spans="1:4" x14ac:dyDescent="0.2">
      <c r="B28" s="187" t="s">
        <v>723</v>
      </c>
      <c r="C28" s="180">
        <f>SUM(C10:C27)</f>
        <v>3097841.48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3097841.48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1895675</v>
      </c>
      <c r="D35" s="182">
        <f t="shared" ref="D35:D40" si="1">ROUND((C35/$C$41)*100,1)</f>
        <v>62.7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6283.8800000001211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936665</v>
      </c>
      <c r="D37" s="182">
        <f t="shared" si="1"/>
        <v>31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5532</v>
      </c>
      <c r="D38" s="182">
        <f t="shared" si="1"/>
        <v>0.2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178975</v>
      </c>
      <c r="D39" s="182">
        <f t="shared" si="1"/>
        <v>5.9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3023130.88</v>
      </c>
      <c r="D41" s="184">
        <f>SUM(D35:D40)</f>
        <v>100.00000000000001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ASHLAND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2015-09-01T12:26:48Z</cp:lastPrinted>
  <dcterms:created xsi:type="dcterms:W3CDTF">1997-12-04T19:04:30Z</dcterms:created>
  <dcterms:modified xsi:type="dcterms:W3CDTF">2015-10-23T17:32:28Z</dcterms:modified>
</cp:coreProperties>
</file>