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9440" windowHeight="88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523" i="1" l="1"/>
  <c r="H521" i="1"/>
  <c r="H522" i="1"/>
  <c r="G521" i="1"/>
  <c r="G531" i="1"/>
  <c r="H581" i="1" l="1"/>
  <c r="H282" i="1" l="1"/>
  <c r="H281" i="1"/>
  <c r="G281" i="1"/>
  <c r="F281" i="1"/>
  <c r="H209" i="1"/>
  <c r="H208" i="1"/>
  <c r="H205" i="1"/>
  <c r="H204" i="1"/>
  <c r="J203" i="1"/>
  <c r="I203" i="1"/>
  <c r="H203" i="1"/>
  <c r="G203" i="1"/>
  <c r="F203" i="1"/>
  <c r="K202" i="1"/>
  <c r="I202" i="1"/>
  <c r="H202" i="1"/>
  <c r="G202" i="1"/>
  <c r="F202" i="1"/>
  <c r="G200" i="1"/>
  <c r="F200" i="1"/>
  <c r="I200" i="1"/>
  <c r="H200" i="1"/>
  <c r="H234" i="1"/>
  <c r="G198" i="1"/>
  <c r="F198" i="1"/>
  <c r="I198" i="1"/>
  <c r="H216" i="1"/>
  <c r="H198" i="1"/>
  <c r="K198" i="1"/>
  <c r="J198" i="1"/>
  <c r="H1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E16" i="13" s="1"/>
  <c r="C16" i="13" s="1"/>
  <c r="L245" i="1"/>
  <c r="F5" i="13"/>
  <c r="G5" i="13"/>
  <c r="L197" i="1"/>
  <c r="L198" i="1"/>
  <c r="L199" i="1"/>
  <c r="L200" i="1"/>
  <c r="L215" i="1"/>
  <c r="L216" i="1"/>
  <c r="C11" i="10" s="1"/>
  <c r="L217" i="1"/>
  <c r="L218" i="1"/>
  <c r="L233" i="1"/>
  <c r="C109" i="2" s="1"/>
  <c r="L234" i="1"/>
  <c r="L235" i="1"/>
  <c r="L236" i="1"/>
  <c r="C13" i="10" s="1"/>
  <c r="F6" i="13"/>
  <c r="G6" i="13"/>
  <c r="L202" i="1"/>
  <c r="C118" i="2" s="1"/>
  <c r="L220" i="1"/>
  <c r="L238" i="1"/>
  <c r="F7" i="13"/>
  <c r="G7" i="13"/>
  <c r="L203" i="1"/>
  <c r="L221" i="1"/>
  <c r="C119" i="2" s="1"/>
  <c r="L239" i="1"/>
  <c r="F12" i="13"/>
  <c r="G12" i="13"/>
  <c r="L205" i="1"/>
  <c r="L223" i="1"/>
  <c r="L241" i="1"/>
  <c r="C121" i="2" s="1"/>
  <c r="F14" i="13"/>
  <c r="G14" i="13"/>
  <c r="L207" i="1"/>
  <c r="C20" i="10" s="1"/>
  <c r="L225" i="1"/>
  <c r="L243" i="1"/>
  <c r="F15" i="13"/>
  <c r="G15" i="13"/>
  <c r="L208" i="1"/>
  <c r="L226" i="1"/>
  <c r="C21" i="10" s="1"/>
  <c r="L244" i="1"/>
  <c r="F17" i="13"/>
  <c r="G17" i="13"/>
  <c r="D17" i="13" s="1"/>
  <c r="C17" i="13" s="1"/>
  <c r="L251" i="1"/>
  <c r="F18" i="13"/>
  <c r="G18" i="13"/>
  <c r="D18" i="13" s="1"/>
  <c r="C18" i="13" s="1"/>
  <c r="L252" i="1"/>
  <c r="F19" i="13"/>
  <c r="G19" i="13"/>
  <c r="D19" i="13" s="1"/>
  <c r="C19" i="13" s="1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E110" i="2" s="1"/>
  <c r="L278" i="1"/>
  <c r="L279" i="1"/>
  <c r="L281" i="1"/>
  <c r="L282" i="1"/>
  <c r="L283" i="1"/>
  <c r="L284" i="1"/>
  <c r="L285" i="1"/>
  <c r="L286" i="1"/>
  <c r="L287" i="1"/>
  <c r="F662" i="1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H662" i="1" s="1"/>
  <c r="L326" i="1"/>
  <c r="L333" i="1"/>
  <c r="L334" i="1"/>
  <c r="E114" i="2" s="1"/>
  <c r="L335" i="1"/>
  <c r="L260" i="1"/>
  <c r="L261" i="1"/>
  <c r="C132" i="2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401" i="1" s="1"/>
  <c r="C139" i="2" s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79" i="1"/>
  <c r="F94" i="1"/>
  <c r="C58" i="2" s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H162" i="1"/>
  <c r="I147" i="1"/>
  <c r="F85" i="2" s="1"/>
  <c r="I162" i="1"/>
  <c r="C15" i="10"/>
  <c r="L250" i="1"/>
  <c r="L332" i="1"/>
  <c r="L254" i="1"/>
  <c r="L268" i="1"/>
  <c r="L269" i="1"/>
  <c r="C26" i="10" s="1"/>
  <c r="L349" i="1"/>
  <c r="L350" i="1"/>
  <c r="I665" i="1"/>
  <c r="I670" i="1"/>
  <c r="G661" i="1"/>
  <c r="I669" i="1"/>
  <c r="C42" i="10"/>
  <c r="C32" i="10"/>
  <c r="L374" i="1"/>
  <c r="L375" i="1"/>
  <c r="F130" i="2" s="1"/>
  <c r="L376" i="1"/>
  <c r="L377" i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K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L270" i="1" s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8" i="2" s="1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F56" i="2"/>
  <c r="C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E81" i="2" s="1"/>
  <c r="F76" i="2"/>
  <c r="C77" i="2"/>
  <c r="D77" i="2"/>
  <c r="D78" i="2" s="1"/>
  <c r="D81" i="2" s="1"/>
  <c r="E77" i="2"/>
  <c r="F77" i="2"/>
  <c r="G77" i="2"/>
  <c r="G78" i="2" s="1"/>
  <c r="C79" i="2"/>
  <c r="D79" i="2"/>
  <c r="E79" i="2"/>
  <c r="C80" i="2"/>
  <c r="E80" i="2"/>
  <c r="D85" i="2"/>
  <c r="E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1" i="2"/>
  <c r="C112" i="2"/>
  <c r="E112" i="2"/>
  <c r="C113" i="2"/>
  <c r="E113" i="2"/>
  <c r="C114" i="2"/>
  <c r="D115" i="2"/>
  <c r="F115" i="2"/>
  <c r="G115" i="2"/>
  <c r="E120" i="2"/>
  <c r="E122" i="2"/>
  <c r="E123" i="2"/>
  <c r="E125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G157" i="2" s="1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H408" i="1" s="1"/>
  <c r="H644" i="1" s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G641" i="1" s="1"/>
  <c r="F452" i="1"/>
  <c r="G452" i="1"/>
  <c r="H452" i="1"/>
  <c r="F460" i="1"/>
  <c r="G460" i="1"/>
  <c r="G461" i="1" s="1"/>
  <c r="H640" i="1" s="1"/>
  <c r="H460" i="1"/>
  <c r="F461" i="1"/>
  <c r="F470" i="1"/>
  <c r="G470" i="1"/>
  <c r="H470" i="1"/>
  <c r="I470" i="1"/>
  <c r="I476" i="1" s="1"/>
  <c r="H625" i="1" s="1"/>
  <c r="J625" i="1" s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G545" i="1" s="1"/>
  <c r="H544" i="1"/>
  <c r="I544" i="1"/>
  <c r="J544" i="1"/>
  <c r="K544" i="1"/>
  <c r="L557" i="1"/>
  <c r="L558" i="1"/>
  <c r="L560" i="1" s="1"/>
  <c r="L559" i="1"/>
  <c r="F560" i="1"/>
  <c r="G560" i="1"/>
  <c r="H560" i="1"/>
  <c r="I560" i="1"/>
  <c r="J560" i="1"/>
  <c r="K560" i="1"/>
  <c r="L562" i="1"/>
  <c r="L563" i="1"/>
  <c r="L565" i="1" s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8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G640" i="1"/>
  <c r="G643" i="1"/>
  <c r="G644" i="1"/>
  <c r="G649" i="1"/>
  <c r="G650" i="1"/>
  <c r="G651" i="1"/>
  <c r="G652" i="1"/>
  <c r="H652" i="1"/>
  <c r="G653" i="1"/>
  <c r="H653" i="1"/>
  <c r="G654" i="1"/>
  <c r="H654" i="1"/>
  <c r="H655" i="1"/>
  <c r="F192" i="1"/>
  <c r="K257" i="1"/>
  <c r="K271" i="1" s="1"/>
  <c r="L351" i="1"/>
  <c r="D15" i="13"/>
  <c r="C15" i="13" s="1"/>
  <c r="G156" i="2"/>
  <c r="H112" i="1"/>
  <c r="K571" i="1"/>
  <c r="H169" i="1"/>
  <c r="G476" i="1"/>
  <c r="H623" i="1" s="1"/>
  <c r="J623" i="1" s="1"/>
  <c r="J140" i="1"/>
  <c r="G22" i="2"/>
  <c r="H140" i="1"/>
  <c r="H571" i="1"/>
  <c r="H338" i="1"/>
  <c r="H352" i="1" s="1"/>
  <c r="I571" i="1"/>
  <c r="G36" i="2"/>
  <c r="A40" i="12" l="1"/>
  <c r="A13" i="12"/>
  <c r="L570" i="1"/>
  <c r="F571" i="1"/>
  <c r="J552" i="1"/>
  <c r="I545" i="1"/>
  <c r="K551" i="1"/>
  <c r="F552" i="1"/>
  <c r="K598" i="1"/>
  <c r="G647" i="1" s="1"/>
  <c r="H545" i="1"/>
  <c r="G257" i="1"/>
  <c r="G271" i="1" s="1"/>
  <c r="L328" i="1"/>
  <c r="L309" i="1"/>
  <c r="E121" i="2"/>
  <c r="K549" i="1"/>
  <c r="F169" i="1"/>
  <c r="D14" i="13"/>
  <c r="C14" i="13" s="1"/>
  <c r="L539" i="1"/>
  <c r="H461" i="1"/>
  <c r="H641" i="1" s="1"/>
  <c r="I446" i="1"/>
  <c r="G642" i="1" s="1"/>
  <c r="J639" i="1"/>
  <c r="L433" i="1"/>
  <c r="L427" i="1"/>
  <c r="L434" i="1" s="1"/>
  <c r="G638" i="1" s="1"/>
  <c r="J638" i="1" s="1"/>
  <c r="L419" i="1"/>
  <c r="I408" i="1"/>
  <c r="F408" i="1"/>
  <c r="H643" i="1" s="1"/>
  <c r="G408" i="1"/>
  <c r="H645" i="1" s="1"/>
  <c r="L382" i="1"/>
  <c r="G636" i="1" s="1"/>
  <c r="J636" i="1" s="1"/>
  <c r="G164" i="2"/>
  <c r="G161" i="2"/>
  <c r="C143" i="2"/>
  <c r="C125" i="2"/>
  <c r="F78" i="2"/>
  <c r="F81" i="2" s="1"/>
  <c r="G662" i="1"/>
  <c r="C35" i="10"/>
  <c r="E119" i="2"/>
  <c r="C18" i="10"/>
  <c r="J643" i="1"/>
  <c r="J571" i="1"/>
  <c r="K545" i="1"/>
  <c r="J257" i="1"/>
  <c r="J271" i="1" s="1"/>
  <c r="E118" i="2"/>
  <c r="D50" i="2"/>
  <c r="D51" i="2" s="1"/>
  <c r="D12" i="13"/>
  <c r="C12" i="13" s="1"/>
  <c r="J545" i="1"/>
  <c r="F338" i="1"/>
  <c r="F352" i="1" s="1"/>
  <c r="G338" i="1"/>
  <c r="G352" i="1" s="1"/>
  <c r="I257" i="1"/>
  <c r="I271" i="1" s="1"/>
  <c r="F257" i="1"/>
  <c r="F271" i="1" s="1"/>
  <c r="E103" i="2"/>
  <c r="E31" i="2"/>
  <c r="F18" i="2"/>
  <c r="L229" i="1"/>
  <c r="H476" i="1"/>
  <c r="H624" i="1" s="1"/>
  <c r="J624" i="1" s="1"/>
  <c r="F476" i="1"/>
  <c r="H622" i="1" s="1"/>
  <c r="J622" i="1" s="1"/>
  <c r="K338" i="1"/>
  <c r="K352" i="1" s="1"/>
  <c r="C19" i="10"/>
  <c r="C16" i="10"/>
  <c r="L290" i="1"/>
  <c r="C10" i="10"/>
  <c r="J655" i="1"/>
  <c r="H257" i="1"/>
  <c r="H271" i="1" s="1"/>
  <c r="L256" i="1"/>
  <c r="C17" i="10"/>
  <c r="C124" i="2"/>
  <c r="L211" i="1"/>
  <c r="C110" i="2"/>
  <c r="D5" i="13"/>
  <c r="C5" i="13" s="1"/>
  <c r="J644" i="1"/>
  <c r="L393" i="1"/>
  <c r="C138" i="2" s="1"/>
  <c r="J640" i="1"/>
  <c r="J634" i="1"/>
  <c r="F661" i="1"/>
  <c r="D62" i="2"/>
  <c r="D63" i="2" s="1"/>
  <c r="C91" i="2"/>
  <c r="C78" i="2"/>
  <c r="C70" i="2"/>
  <c r="D31" i="2"/>
  <c r="D18" i="2"/>
  <c r="J641" i="1"/>
  <c r="I662" i="1"/>
  <c r="J617" i="1"/>
  <c r="E115" i="2"/>
  <c r="F22" i="13"/>
  <c r="C22" i="13" s="1"/>
  <c r="C29" i="10"/>
  <c r="I169" i="1"/>
  <c r="F112" i="1"/>
  <c r="E13" i="13"/>
  <c r="C13" i="13" s="1"/>
  <c r="D29" i="13"/>
  <c r="C29" i="13" s="1"/>
  <c r="D6" i="13"/>
  <c r="C6" i="13" s="1"/>
  <c r="D7" i="13"/>
  <c r="C7" i="13" s="1"/>
  <c r="H647" i="1"/>
  <c r="L614" i="1"/>
  <c r="L544" i="1"/>
  <c r="L529" i="1"/>
  <c r="K503" i="1"/>
  <c r="K500" i="1"/>
  <c r="I452" i="1"/>
  <c r="H52" i="1"/>
  <c r="H619" i="1" s="1"/>
  <c r="J619" i="1" s="1"/>
  <c r="C111" i="2"/>
  <c r="C115" i="2" s="1"/>
  <c r="H661" i="1"/>
  <c r="L247" i="1"/>
  <c r="C25" i="10"/>
  <c r="C12" i="10"/>
  <c r="J112" i="1"/>
  <c r="J193" i="1" s="1"/>
  <c r="G646" i="1" s="1"/>
  <c r="H25" i="13"/>
  <c r="E8" i="13"/>
  <c r="C8" i="13" s="1"/>
  <c r="J649" i="1"/>
  <c r="G645" i="1"/>
  <c r="J645" i="1" s="1"/>
  <c r="L534" i="1"/>
  <c r="I460" i="1"/>
  <c r="J338" i="1"/>
  <c r="J352" i="1" s="1"/>
  <c r="I52" i="1"/>
  <c r="H620" i="1" s="1"/>
  <c r="D127" i="2"/>
  <c r="D128" i="2" s="1"/>
  <c r="D145" i="2" s="1"/>
  <c r="E124" i="2"/>
  <c r="C123" i="2"/>
  <c r="C120" i="2"/>
  <c r="G81" i="2"/>
  <c r="C62" i="2"/>
  <c r="C63" i="2" s="1"/>
  <c r="L362" i="1"/>
  <c r="C27" i="10" s="1"/>
  <c r="L337" i="1"/>
  <c r="L338" i="1" s="1"/>
  <c r="L352" i="1" s="1"/>
  <c r="G633" i="1" s="1"/>
  <c r="J633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L571" i="1"/>
  <c r="I192" i="1"/>
  <c r="E91" i="2"/>
  <c r="E104" i="2" s="1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D31" i="13" s="1"/>
  <c r="C31" i="13" s="1"/>
  <c r="H193" i="1"/>
  <c r="G629" i="1" s="1"/>
  <c r="J629" i="1" s="1"/>
  <c r="G169" i="1"/>
  <c r="C39" i="10" s="1"/>
  <c r="G140" i="1"/>
  <c r="F140" i="1"/>
  <c r="G63" i="2"/>
  <c r="J618" i="1"/>
  <c r="G42" i="2"/>
  <c r="J51" i="1"/>
  <c r="G16" i="2"/>
  <c r="G18" i="2" s="1"/>
  <c r="J19" i="1"/>
  <c r="G621" i="1" s="1"/>
  <c r="F545" i="1"/>
  <c r="H434" i="1"/>
  <c r="J620" i="1"/>
  <c r="D103" i="2"/>
  <c r="I140" i="1"/>
  <c r="A22" i="12"/>
  <c r="G50" i="2"/>
  <c r="G51" i="2" s="1"/>
  <c r="J652" i="1"/>
  <c r="G571" i="1"/>
  <c r="I434" i="1"/>
  <c r="G434" i="1"/>
  <c r="I663" i="1"/>
  <c r="K552" i="1" l="1"/>
  <c r="J647" i="1"/>
  <c r="H648" i="1"/>
  <c r="J648" i="1" s="1"/>
  <c r="I193" i="1"/>
  <c r="G630" i="1" s="1"/>
  <c r="J630" i="1" s="1"/>
  <c r="F51" i="2"/>
  <c r="F104" i="2"/>
  <c r="E128" i="2"/>
  <c r="E145" i="2" s="1"/>
  <c r="I661" i="1"/>
  <c r="C81" i="2"/>
  <c r="L545" i="1"/>
  <c r="F660" i="1"/>
  <c r="F664" i="1" s="1"/>
  <c r="F672" i="1" s="1"/>
  <c r="C4" i="10" s="1"/>
  <c r="C128" i="2"/>
  <c r="L257" i="1"/>
  <c r="L271" i="1" s="1"/>
  <c r="G632" i="1" s="1"/>
  <c r="J632" i="1" s="1"/>
  <c r="C36" i="10"/>
  <c r="C141" i="2"/>
  <c r="C144" i="2" s="1"/>
  <c r="G635" i="1"/>
  <c r="J635" i="1" s="1"/>
  <c r="G672" i="1"/>
  <c r="C5" i="10" s="1"/>
  <c r="D104" i="2"/>
  <c r="C104" i="2"/>
  <c r="F193" i="1"/>
  <c r="G627" i="1" s="1"/>
  <c r="J627" i="1" s="1"/>
  <c r="C28" i="10"/>
  <c r="D23" i="10" s="1"/>
  <c r="F33" i="13"/>
  <c r="L408" i="1"/>
  <c r="H660" i="1"/>
  <c r="G104" i="2"/>
  <c r="C25" i="13"/>
  <c r="H33" i="13"/>
  <c r="I461" i="1"/>
  <c r="H642" i="1" s="1"/>
  <c r="J642" i="1" s="1"/>
  <c r="E33" i="13"/>
  <c r="D35" i="13" s="1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C145" i="2" l="1"/>
  <c r="F667" i="1"/>
  <c r="D27" i="10"/>
  <c r="C30" i="10"/>
  <c r="D13" i="10"/>
  <c r="D12" i="10"/>
  <c r="D15" i="10"/>
  <c r="D22" i="10"/>
  <c r="D10" i="10"/>
  <c r="D18" i="10"/>
  <c r="D11" i="10"/>
  <c r="D25" i="10"/>
  <c r="D16" i="10"/>
  <c r="D24" i="10"/>
  <c r="D20" i="10"/>
  <c r="D26" i="10"/>
  <c r="D17" i="10"/>
  <c r="D21" i="10"/>
  <c r="D19" i="10"/>
  <c r="H664" i="1"/>
  <c r="I660" i="1"/>
  <c r="I664" i="1" s="1"/>
  <c r="I672" i="1" s="1"/>
  <c r="C7" i="10" s="1"/>
  <c r="G637" i="1"/>
  <c r="J637" i="1" s="1"/>
  <c r="H646" i="1"/>
  <c r="J646" i="1" s="1"/>
  <c r="C41" i="10"/>
  <c r="D38" i="10" s="1"/>
  <c r="H656" i="1" l="1"/>
  <c r="D28" i="10"/>
  <c r="I667" i="1"/>
  <c r="H672" i="1"/>
  <c r="C6" i="10" s="1"/>
  <c r="H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<sst xmlns="http://schemas.openxmlformats.org/spreadsheetml/2006/main" count="3954" uniqueCount="912">
  <si>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</si>
  <si>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</si>
  <si>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</si>
  <si>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</si>
  <si>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</si>
  <si>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</si>
  <si>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</si>
  <si>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</si>
  <si>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</si>
  <si>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</si>
  <si>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</si>
  <si>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</si>
  <si>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</si>
  <si>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</si>
  <si>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</si>
  <si>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</si>
  <si>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</si>
  <si>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</si>
  <si>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</si>
  <si>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</si>
  <si>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</si>
  <si>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</si>
  <si>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</si>
  <si>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</si>
  <si>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</si>
  <si>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</si>
  <si>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</si>
  <si>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</si>
  <si>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</si>
  <si>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</si>
  <si>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</si>
  <si>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</si>
  <si>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</si>
  <si>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</si>
  <si>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</si>
  <si>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</si>
  <si>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</si>
  <si>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</si>
  <si>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</si>
  <si>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</si>
  <si>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</si>
  <si>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</si>
  <si>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</si>
  <si>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</si>
  <si>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</si>
  <si>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</si>
  <si>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</si>
  <si>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</si>
  <si>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</si>
  <si>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</si>
  <si>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</si>
  <si>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</si>
  <si>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</si>
  <si>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</si>
  <si>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</si>
  <si>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</si>
  <si>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</si>
  <si>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</si>
  <si>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</si>
  <si>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</si>
  <si>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</si>
  <si>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</si>
  <si>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</si>
  <si>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</si>
  <si>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</si>
  <si>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</si>
  <si>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</si>
  <si>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</si>
  <si>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</si>
  <si>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</si>
  <si>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</si>
  <si>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</si>
  <si>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</si>
  <si>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</si>
  <si>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</si>
  <si>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</si>
  <si>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</si>
  <si>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</si>
  <si>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</si>
  <si>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</si>
  <si>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</si>
  <si>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</si>
  <si>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</si>
  <si>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</si>
  <si>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</si>
  <si>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</si>
  <si>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</si>
  <si>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</si>
  <si>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</si>
  <si>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</si>
  <si>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</si>
  <si>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</si>
  <si>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</si>
  <si>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</si>
  <si>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</si>
  <si>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</si>
  <si>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</si>
  <si>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</si>
  <si>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</si>
  <si>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</si>
  <si>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</si>
  <si>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</si>
  <si>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</si>
  <si>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</si>
  <si>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</si>
  <si>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</si>
  <si>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</si>
  <si>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</si>
  <si>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</si>
  <si>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</si>
  <si>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</si>
  <si>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</si>
  <si>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</si>
  <si>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</si>
  <si>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</si>
  <si>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</si>
  <si>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</si>
  <si>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</si>
  <si>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</si>
  <si>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</si>
  <si>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</si>
  <si>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</si>
  <si>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</si>
  <si>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</si>
  <si>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</si>
  <si>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</si>
  <si>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</si>
  <si>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</si>
  <si>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</si>
  <si>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</si>
  <si>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</si>
  <si>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</si>
  <si>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</si>
  <si>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</si>
  <si>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</si>
  <si>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</si>
  <si>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</si>
  <si>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</si>
  <si>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</si>
  <si>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</si>
  <si>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</si>
  <si>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</si>
  <si>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</si>
  <si>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</si>
  <si>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</si>
  <si>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</si>
  <si>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</si>
  <si>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</si>
  <si>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</si>
  <si>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</si>
  <si>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</si>
  <si>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</si>
  <si>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</si>
  <si>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</si>
  <si>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</si>
  <si>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</si>
  <si>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</si>
  <si>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</si>
  <si>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</si>
  <si>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</si>
  <si>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</si>
  <si>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</si>
  <si>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</si>
  <si>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</si>
  <si>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</si>
  <si>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</si>
  <si>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</si>
  <si>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</si>
  <si>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</si>
  <si>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</si>
  <si>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</si>
  <si>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</si>
  <si>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</si>
  <si>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</si>
  <si>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</si>
  <si>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</si>
  <si>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</si>
  <si>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</si>
  <si>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</si>
  <si>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</si>
  <si>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</si>
  <si>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</si>
  <si>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</si>
  <si>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</si>
  <si>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</si>
  <si>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</si>
  <si>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</si>
  <si>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</si>
  <si>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</si>
  <si>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</si>
  <si>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</si>
  <si>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</si>
  <si>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</si>
  <si>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</si>
  <si>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</si>
  <si>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</si>
  <si>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</si>
  <si>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</si>
  <si>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</si>
  <si>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</si>
  <si>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</si>
  <si>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</si>
  <si>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</si>
  <si>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</si>
  <si>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</si>
  <si>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</si>
  <si>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</si>
  <si>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</si>
  <si>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</si>
  <si>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</si>
  <si>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</si>
  <si>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</si>
  <si>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</si>
  <si>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</si>
  <si>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</si>
  <si>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</si>
  <si>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</si>
  <si>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</si>
  <si>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</si>
  <si>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</si>
  <si>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</si>
  <si>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</si>
  <si>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</si>
  <si>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</si>
  <si>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</si>
  <si>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</si>
  <si>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</si>
  <si>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</si>
  <si>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</si>
  <si>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</si>
  <si>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</si>
  <si>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</si>
  <si>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</si>
  <si>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</si>
  <si>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</si>
  <si>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</si>
  <si>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</si>
  <si>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</si>
  <si>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</si>
  <si>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</si>
  <si>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</si>
  <si>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</si>
  <si>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</si>
  <si>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</si>
  <si>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</si>
  <si>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</si>
  <si>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</si>
  <si>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</si>
  <si>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</si>
  <si>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</si>
  <si>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</si>
  <si>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</si>
  <si>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</si>
  <si>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</si>
  <si>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</si>
  <si>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</si>
  <si>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</si>
  <si>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</si>
  <si>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</si>
  <si>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</si>
  <si>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</si>
  <si>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</si>
  <si>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</si>
  <si>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</si>
  <si>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</si>
  <si>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</si>
  <si>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</si>
  <si>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</si>
  <si>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</si>
  <si>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</si>
  <si>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</si>
  <si>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</si>
  <si>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</si>
  <si>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</si>
  <si>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</si>
  <si>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</si>
  <si>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</si>
  <si>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</si>
  <si>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</si>
  <si>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</si>
  <si>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</si>
  <si>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</si>
  <si>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</si>
  <si>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</si>
  <si>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</si>
  <si>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</si>
  <si>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</si>
  <si>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</si>
  <si>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</si>
  <si>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</si>
  <si>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</si>
  <si>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</si>
  <si>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</si>
  <si>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</si>
  <si>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</si>
  <si>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</si>
  <si>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</si>
  <si>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</si>
  <si>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</si>
  <si>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</si>
  <si>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</si>
  <si>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</si>
  <si>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</si>
  <si>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</si>
  <si>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</si>
  <si>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</si>
  <si>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</si>
  <si>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</si>
  <si>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</si>
  <si>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</si>
  <si>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</si>
  <si>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</si>
  <si>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</si>
  <si>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</si>
  <si>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</si>
  <si>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</si>
  <si>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</si>
  <si>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</si>
  <si>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</si>
  <si>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</si>
  <si>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</si>
  <si>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</si>
  <si>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</si>
  <si>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</si>
  <si>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</si>
  <si>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</si>
  <si>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</si>
  <si>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</si>
  <si>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</si>
  <si>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</si>
  <si>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</si>
  <si>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</si>
  <si>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</si>
  <si>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</si>
  <si>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</si>
  <si>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</si>
  <si>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</si>
  <si>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</si>
  <si>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</si>
  <si>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</si>
  <si>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</si>
  <si>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</si>
  <si>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</si>
  <si>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</si>
  <si>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</si>
  <si>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</si>
  <si>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</si>
  <si>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</si>
  <si>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</si>
  <si>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</si>
  <si>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</si>
  <si>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</si>
  <si>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</si>
  <si>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</si>
  <si>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</si>
  <si>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</si>
  <si>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</si>
  <si>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</si>
  <si>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</si>
  <si>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</si>
  <si>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</si>
  <si>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</si>
  <si>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</si>
  <si>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</si>
  <si>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</si>
  <si>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</si>
  <si>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</si>
  <si>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</si>
  <si>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</si>
  <si>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</si>
  <si>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</si>
  <si>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</si>
  <si>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</si>
  <si>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</si>
  <si>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</si>
  <si>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</si>
  <si>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</si>
  <si>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</si>
  <si>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</si>
  <si>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</si>
  <si>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</si>
  <si>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</si>
  <si>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</si>
  <si>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</si>
  <si>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</si>
  <si>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</si>
  <si>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</si>
  <si>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</si>
  <si>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</si>
  <si>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</si>
  <si>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</si>
  <si>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</si>
  <si>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</si>
  <si>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</si>
  <si>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</si>
  <si>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</si>
  <si>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</si>
  <si>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</si>
  <si>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</si>
  <si>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</si>
  <si>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</si>
  <si>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</si>
  <si>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</si>
  <si>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</si>
  <si>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</si>
  <si>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</si>
  <si>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</si>
  <si>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</si>
  <si>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</si>
  <si>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</si>
  <si>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</si>
  <si>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</si>
  <si>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</si>
  <si>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</si>
  <si>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</si>
  <si>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</si>
  <si>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</si>
  <si>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</si>
  <si>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</si>
  <si>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</si>
  <si>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</si>
  <si>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</si>
  <si>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</si>
  <si>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</si>
  <si>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</si>
  <si>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</si>
  <si>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</si>
  <si>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</si>
  <si>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</si>
  <si>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</si>
  <si>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</si>
  <si>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</si>
  <si>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</si>
  <si>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</si>
  <si>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</si>
  <si>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</si>
  <si>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</si>
  <si>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</si>
  <si>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</si>
  <si>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</si>
  <si>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</si>
  <si>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</si>
  <si>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</si>
  <si>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</si>
  <si>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</si>
  <si>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</si>
  <si>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</si>
  <si>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</si>
  <si>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</si>
  <si>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</si>
  <si>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</si>
  <si>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</si>
  <si>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</si>
  <si>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</si>
  <si>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</si>
  <si>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</si>
  <si>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</si>
  <si>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</si>
  <si>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</si>
  <si>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</si>
  <si>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</si>
  <si>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</si>
  <si>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</si>
  <si>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</si>
  <si>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</si>
  <si>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</si>
  <si>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</si>
  <si>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</si>
  <si>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</si>
  <si>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</si>
  <si>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</si>
  <si>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</si>
  <si>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</si>
  <si>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</si>
  <si>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</si>
  <si>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</si>
  <si>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</si>
  <si>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</si>
  <si>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</si>
  <si>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</si>
  <si>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</si>
  <si>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</si>
  <si>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</si>
  <si>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</si>
  <si>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</si>
  <si>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</si>
  <si>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</si>
  <si>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</si>
  <si>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</si>
  <si>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</si>
  <si>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</si>
  <si>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</si>
  <si>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</si>
  <si>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</si>
  <si>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</si>
  <si>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</si>
  <si>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</si>
  <si>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</si>
  <si>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</si>
  <si>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</si>
  <si>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</si>
  <si>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</si>
  <si>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</si>
  <si>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</si>
  <si>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</si>
  <si>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</si>
  <si>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</si>
  <si>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</si>
  <si>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</si>
  <si>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</si>
  <si>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</si>
  <si>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</si>
  <si>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</si>
  <si>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</si>
  <si>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</si>
  <si>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</si>
  <si>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</si>
  <si>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</si>
  <si>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</si>
  <si>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</si>
  <si>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</si>
  <si>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</si>
  <si>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</si>
  <si>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</si>
  <si>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</si>
  <si>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</si>
  <si>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</si>
  <si>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</si>
  <si>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</si>
  <si>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</si>
  <si>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</si>
  <si>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</si>
  <si>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</si>
  <si>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</si>
  <si>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</si>
  <si>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</si>
  <si>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</si>
  <si>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</si>
  <si>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</si>
  <si>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</si>
  <si>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</si>
  <si>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</si>
  <si>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</si>
  <si>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</si>
  <si>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</si>
  <si>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</si>
  <si>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</si>
  <si>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</si>
  <si>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</si>
  <si>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</si>
  <si>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</si>
  <si>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</si>
  <si>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</si>
  <si>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</si>
  <si>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</si>
  <si>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</si>
  <si>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</si>
  <si>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</si>
  <si>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</si>
  <si>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</si>
  <si>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</si>
  <si>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</si>
  <si>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</si>
  <si>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</si>
  <si>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</si>
  <si>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</si>
  <si>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</si>
  <si>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</si>
  <si>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</si>
  <si>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</si>
  <si>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</si>
  <si>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</si>
  <si>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</si>
  <si>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</si>
  <si>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</si>
  <si>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</si>
  <si>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</si>
  <si>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</si>
  <si>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</si>
  <si>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</si>
  <si>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</si>
  <si>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</si>
  <si>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</si>
  <si>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</si>
  <si>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</si>
  <si>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</si>
  <si>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</si>
  <si>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</si>
  <si>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</si>
  <si>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</si>
  <si>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</si>
  <si>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</si>
  <si>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</si>
  <si>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</si>
  <si>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</si>
  <si>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</si>
  <si>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</si>
  <si>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</si>
  <si>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</si>
  <si>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</si>
  <si>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</si>
  <si>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</si>
  <si>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</si>
  <si>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</si>
  <si>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</si>
  <si>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</si>
  <si>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</si>
  <si>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</si>
  <si>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</si>
  <si>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</si>
  <si>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</si>
  <si>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</si>
  <si>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</si>
  <si>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</si>
  <si>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</si>
  <si>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</si>
  <si>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</si>
  <si>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</si>
  <si>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</si>
  <si>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</si>
  <si>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</si>
  <si>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</si>
  <si>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</si>
  <si>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</si>
  <si>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</si>
  <si>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</si>
  <si>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</si>
  <si>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</si>
  <si>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</si>
  <si>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</si>
  <si>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</si>
  <si>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</si>
  <si>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</si>
  <si>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</si>
  <si>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</si>
  <si>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</si>
  <si>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</si>
  <si>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</si>
  <si>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</si>
  <si>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</si>
  <si>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</si>
  <si>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</si>
  <si>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</si>
  <si>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</si>
  <si>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</si>
  <si>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</si>
  <si>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</si>
  <si>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</si>
  <si>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</si>
  <si>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</si>
  <si>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</si>
  <si>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</si>
  <si>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</si>
  <si>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</si>
  <si>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</si>
  <si>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</si>
  <si>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</si>
  <si>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</si>
  <si>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</si>
  <si>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</si>
  <si>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</si>
  <si>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</si>
  <si>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</si>
  <si>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</si>
  <si>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</si>
  <si>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</si>
  <si>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</si>
  <si>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</si>
  <si>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</si>
  <si>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</si>
  <si>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</si>
  <si>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</si>
  <si>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</si>
  <si>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</si>
  <si>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</si>
  <si>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</si>
  <si>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</si>
  <si>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</si>
  <si>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</si>
  <si>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</si>
  <si>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</si>
  <si>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</si>
  <si>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</si>
  <si>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</si>
  <si>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</si>
  <si>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</si>
  <si>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</si>
  <si>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</si>
  <si>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</si>
  <si>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</si>
  <si>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</si>
  <si>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</si>
  <si>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</si>
  <si>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</si>
  <si>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</si>
  <si>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</si>
  <si>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</si>
  <si>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</si>
  <si>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</si>
  <si>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</si>
  <si>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</si>
  <si>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</si>
  <si>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</si>
  <si>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</si>
  <si>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</si>
  <si>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</si>
  <si>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</si>
  <si>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</si>
  <si>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</si>
  <si>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</si>
  <si>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</si>
  <si>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</si>
  <si>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</si>
  <si>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</si>
  <si>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</si>
  <si>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</si>
  <si>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</si>
  <si>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</si>
  <si>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</si>
  <si>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</si>
  <si>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</si>
  <si>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</si>
  <si>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</si>
  <si>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</si>
  <si>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</si>
  <si>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</si>
  <si>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</si>
  <si>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</si>
  <si>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</si>
  <si>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</si>
  <si>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</si>
  <si>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</si>
  <si>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</si>
  <si>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</si>
  <si>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</si>
  <si>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</si>
  <si>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</si>
  <si>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</si>
  <si>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</si>
  <si>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</si>
  <si>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</si>
  <si>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</si>
  <si>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</si>
  <si>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</si>
  <si>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</si>
  <si>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</si>
  <si>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</si>
  <si>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</si>
  <si>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</si>
  <si>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</si>
  <si>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</si>
  <si>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</si>
  <si>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</si>
  <si>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</si>
  <si>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</si>
  <si>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</si>
  <si>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</si>
  <si>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</si>
  <si>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</si>
  <si>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</si>
  <si>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</si>
  <si>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</si>
  <si>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</si>
  <si>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</si>
  <si>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</si>
  <si>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</si>
  <si>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</si>
  <si>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</si>
  <si>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</si>
  <si>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</si>
  <si>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</si>
  <si>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</si>
  <si>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</si>
  <si>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</si>
  <si>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</si>
  <si>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</si>
  <si>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</si>
  <si>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</si>
  <si>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</si>
  <si>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</si>
  <si>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</si>
  <si>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</si>
  <si>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</si>
  <si>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</si>
  <si>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</si>
  <si>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</si>
  <si>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</si>
  <si>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</si>
  <si>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</si>
  <si>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</si>
  <si>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</si>
  <si>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</si>
  <si>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</si>
  <si>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</si>
  <si>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</si>
  <si>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</si>
  <si>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</si>
  <si>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</si>
  <si>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</si>
  <si>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</si>
  <si>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</si>
  <si>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</si>
  <si>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</si>
  <si>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</si>
  <si>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</si>
  <si>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</si>
  <si>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</si>
  <si>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</si>
  <si>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</si>
  <si>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</si>
  <si>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</si>
  <si>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</si>
  <si>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</si>
  <si>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</si>
  <si>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</si>
  <si>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</si>
  <si>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</si>
  <si>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</si>
  <si>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</si>
  <si>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</si>
  <si>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</si>
  <si>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</si>
  <si>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</si>
  <si>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</si>
  <si>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</si>
  <si>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</si>
  <si>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</si>
  <si>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</si>
  <si>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</si>
  <si>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</si>
  <si>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</si>
  <si>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</si>
  <si>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</si>
  <si>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</si>
  <si>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</si>
  <si>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</si>
  <si>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</si>
  <si>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</si>
  <si>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</si>
  <si>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</si>
  <si>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</si>
  <si>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</si>
  <si>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</si>
  <si>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</si>
  <si>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</si>
  <si>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</si>
  <si>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</si>
  <si>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</si>
  <si>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</si>
  <si>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</si>
  <si>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</si>
  <si>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</si>
  <si>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</si>
  <si>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</si>
  <si>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</si>
  <si>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</si>
  <si>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</si>
  <si>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</si>
  <si>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</si>
  <si>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</si>
  <si>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</si>
  <si>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</si>
  <si>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</si>
  <si>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</si>
  <si>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</si>
  <si>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</si>
  <si>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</si>
  <si>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</si>
  <si>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</si>
  <si>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</si>
  <si>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</si>
  <si>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</si>
  <si>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</si>
  <si>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</si>
  <si>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</si>
  <si>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</si>
  <si>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</si>
  <si>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</si>
  <si>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</si>
  <si>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</si>
  <si>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</si>
  <si>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</si>
  <si>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</si>
  <si>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</si>
  <si>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</si>
  <si>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</si>
  <si>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</si>
  <si>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</si>
  <si>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</si>
  <si>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</si>
  <si>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</si>
  <si>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</si>
  <si>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</si>
  <si>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</si>
  <si>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</si>
  <si>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</si>
  <si>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</si>
  <si>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</si>
  <si>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</si>
  <si>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</si>
  <si>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</si>
  <si>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</si>
  <si>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</si>
  <si>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</si>
  <si>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</si>
  <si>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</si>
  <si>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</si>
  <si>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</si>
  <si>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</si>
  <si>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</si>
  <si>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</si>
  <si>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Auburn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</si>
</sst>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29</v>
      </c>
      <c r="C2" s="21">
        <v>29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707606.57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51067.51</v>
      </c>
      <c r="G12" s="18">
        <v>86760.81</v>
      </c>
      <c r="H12" s="18"/>
      <c r="I12" s="18"/>
      <c r="J12" s="67">
        <f>SUM(I441)</f>
        <v>201398.52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17620.330000000002</v>
      </c>
      <c r="G13" s="18">
        <v>3418.52</v>
      </c>
      <c r="H13" s="18">
        <v>52884.57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2280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778574.40999999992</v>
      </c>
      <c r="G19" s="41">
        <f>SUM(G9:G18)</f>
        <v>90179.33</v>
      </c>
      <c r="H19" s="41">
        <f>SUM(H9:H18)</f>
        <v>52884.57</v>
      </c>
      <c r="I19" s="41">
        <f>SUM(I9:I18)</f>
        <v>0</v>
      </c>
      <c r="J19" s="41">
        <f>SUM(J9:J18)</f>
        <v>201398.52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86760.81</v>
      </c>
      <c r="G22" s="18"/>
      <c r="H22" s="18">
        <v>51067.51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9971.9599999999991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127238.82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23895.35</v>
      </c>
      <c r="G28" s="18">
        <v>1452.44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100</v>
      </c>
      <c r="G30" s="18">
        <v>5605.2</v>
      </c>
      <c r="H30" s="18">
        <v>1817.06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247966.94</v>
      </c>
      <c r="G32" s="41">
        <f>SUM(G22:G31)</f>
        <v>7057.6399999999994</v>
      </c>
      <c r="H32" s="41">
        <f>SUM(H22:H31)</f>
        <v>52884.57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100000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69690.22</v>
      </c>
      <c r="H48" s="18"/>
      <c r="I48" s="18"/>
      <c r="J48" s="13">
        <f>SUM(I459)</f>
        <v>201398.52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113055.2</v>
      </c>
      <c r="G49" s="18">
        <v>13431.47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317552.27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530607.47</v>
      </c>
      <c r="G51" s="41">
        <f>SUM(G35:G50)</f>
        <v>83121.69</v>
      </c>
      <c r="H51" s="41">
        <f>SUM(H35:H50)</f>
        <v>0</v>
      </c>
      <c r="I51" s="41">
        <f>SUM(I35:I50)</f>
        <v>0</v>
      </c>
      <c r="J51" s="41">
        <f>SUM(J35:J50)</f>
        <v>201398.52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778574.40999999992</v>
      </c>
      <c r="G52" s="41">
        <f>G51+G32</f>
        <v>90179.33</v>
      </c>
      <c r="H52" s="41">
        <f>H51+H32</f>
        <v>52884.57</v>
      </c>
      <c r="I52" s="41">
        <f>I51+I32</f>
        <v>0</v>
      </c>
      <c r="J52" s="41">
        <f>J51+J32</f>
        <v>201398.52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8357959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8357959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230.28</v>
      </c>
      <c r="G96" s="18"/>
      <c r="H96" s="18"/>
      <c r="I96" s="18"/>
      <c r="J96" s="18">
        <v>308.99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147299.95000000001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2990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15244.87</v>
      </c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107869.01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169.74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126503.90000000001</v>
      </c>
      <c r="G111" s="41">
        <f>SUM(G96:G110)</f>
        <v>147299.95000000001</v>
      </c>
      <c r="H111" s="41">
        <f>SUM(H96:H110)</f>
        <v>0</v>
      </c>
      <c r="I111" s="41">
        <f>SUM(I96:I110)</f>
        <v>0</v>
      </c>
      <c r="J111" s="41">
        <f>SUM(J96:J110)</f>
        <v>308.99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8484462.9000000004</v>
      </c>
      <c r="G112" s="41">
        <f>G60+G111</f>
        <v>147299.95000000001</v>
      </c>
      <c r="H112" s="41">
        <f>H60+H79+H94+H111</f>
        <v>0</v>
      </c>
      <c r="I112" s="41">
        <f>I60+I111</f>
        <v>0</v>
      </c>
      <c r="J112" s="41">
        <f>J60+J111</f>
        <v>308.99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1817726.87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1616464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3434190.87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143365.96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2854.36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143365.96</v>
      </c>
      <c r="G136" s="41">
        <f>SUM(G123:G135)</f>
        <v>2854.36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3577556.83</v>
      </c>
      <c r="G140" s="41">
        <f>G121+SUM(G136:G137)</f>
        <v>2854.36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45143.17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73131.23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52551.65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143704.57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123967.22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123967.22</v>
      </c>
      <c r="G162" s="41">
        <f>SUM(G150:G161)</f>
        <v>52551.65</v>
      </c>
      <c r="H162" s="41">
        <f>SUM(H150:H161)</f>
        <v>261978.97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123967.22</v>
      </c>
      <c r="G169" s="41">
        <f>G147+G162+SUM(G163:G168)</f>
        <v>52551.65</v>
      </c>
      <c r="H169" s="41">
        <f>H147+H162+SUM(H163:H168)</f>
        <v>261978.97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75000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75000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75000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12185986.950000001</v>
      </c>
      <c r="G193" s="47">
        <f>G112+G140+G169+G192</f>
        <v>202705.96</v>
      </c>
      <c r="H193" s="47">
        <f>H112+H140+H169+H192</f>
        <v>261978.97</v>
      </c>
      <c r="I193" s="47">
        <f>I112+I140+I169+I192</f>
        <v>0</v>
      </c>
      <c r="J193" s="47">
        <f>J112+J140+J192</f>
        <v>75308.990000000005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2170315.04</v>
      </c>
      <c r="G197" s="18">
        <v>1037016.65</v>
      </c>
      <c r="H197" s="18">
        <f>11350.48+140</f>
        <v>11490.48</v>
      </c>
      <c r="I197" s="18">
        <v>60399.88</v>
      </c>
      <c r="J197" s="18">
        <v>13439.92</v>
      </c>
      <c r="K197" s="18"/>
      <c r="L197" s="19">
        <f>SUM(F197:K197)</f>
        <v>3292661.9699999997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537334.83+18275.84+6275+69522</f>
        <v>631407.66999999993</v>
      </c>
      <c r="G198" s="18">
        <f>216014.43+2934.41+588.21+24435.84</f>
        <v>243972.88999999998</v>
      </c>
      <c r="H198" s="18">
        <f>216948.86+27610.63+1500+475</f>
        <v>246534.49</v>
      </c>
      <c r="I198" s="18">
        <f>1563.51+26.82</f>
        <v>1590.33</v>
      </c>
      <c r="J198" s="18">
        <f>1248.39</f>
        <v>1248.3900000000001</v>
      </c>
      <c r="K198" s="18">
        <f>655</f>
        <v>655</v>
      </c>
      <c r="L198" s="19">
        <f>SUM(F198:K198)</f>
        <v>1125408.7699999998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13232+15100+6000</f>
        <v>34332</v>
      </c>
      <c r="G200" s="18">
        <f>2554.07+1647.57+1308.6</f>
        <v>5510.24</v>
      </c>
      <c r="H200" s="18">
        <f>5470.95</f>
        <v>5470.95</v>
      </c>
      <c r="I200" s="18">
        <f>1815+2107.17</f>
        <v>3922.17</v>
      </c>
      <c r="J200" s="18">
        <v>1308.73</v>
      </c>
      <c r="K200" s="18">
        <v>585</v>
      </c>
      <c r="L200" s="19">
        <f>SUM(F200:K200)</f>
        <v>51129.09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100440+73015.32+34457.64+119059+54996</f>
        <v>381967.96</v>
      </c>
      <c r="G202" s="18">
        <f>45275.55+44109.3+7720.06+48244.92+22884.13</f>
        <v>168233.96000000002</v>
      </c>
      <c r="H202" s="18">
        <f>4456.5+1794.75+18989.25+2016.5+16201.75</f>
        <v>43458.75</v>
      </c>
      <c r="I202" s="18">
        <f>9771.38+2630.16+2061.93+1078.04+1054.21+1458.72</f>
        <v>18054.439999999999</v>
      </c>
      <c r="J202" s="18"/>
      <c r="K202" s="18">
        <f>200+2044.8</f>
        <v>2244.8000000000002</v>
      </c>
      <c r="L202" s="19">
        <f t="shared" ref="L202:L208" si="0">SUM(F202:K202)</f>
        <v>613959.91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1200+54583.5</f>
        <v>55783.5</v>
      </c>
      <c r="G203" s="18">
        <f>2642.8+32068.11</f>
        <v>34710.910000000003</v>
      </c>
      <c r="H203" s="18">
        <f>500+999</f>
        <v>1499</v>
      </c>
      <c r="I203" s="18">
        <f>8525.3</f>
        <v>8525.2999999999993</v>
      </c>
      <c r="J203" s="18">
        <f>325.31</f>
        <v>325.31</v>
      </c>
      <c r="K203" s="18">
        <v>20</v>
      </c>
      <c r="L203" s="19">
        <f t="shared" si="0"/>
        <v>100864.02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10150</v>
      </c>
      <c r="G204" s="18">
        <v>951.94</v>
      </c>
      <c r="H204" s="18">
        <f>18078.88+260581</f>
        <v>278659.88</v>
      </c>
      <c r="I204" s="18">
        <v>2069.4</v>
      </c>
      <c r="J204" s="18"/>
      <c r="K204" s="18">
        <v>4091.21</v>
      </c>
      <c r="L204" s="19">
        <f t="shared" si="0"/>
        <v>295922.43000000005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226877.35</v>
      </c>
      <c r="G205" s="18">
        <v>100179.31</v>
      </c>
      <c r="H205" s="18">
        <f>36979.3+15647.42</f>
        <v>52626.720000000001</v>
      </c>
      <c r="I205" s="18">
        <v>1077.3499999999999</v>
      </c>
      <c r="J205" s="18">
        <v>533.99</v>
      </c>
      <c r="K205" s="18">
        <v>959</v>
      </c>
      <c r="L205" s="19">
        <f t="shared" si="0"/>
        <v>382253.72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154229.29999999999</v>
      </c>
      <c r="G207" s="18">
        <v>92479.2</v>
      </c>
      <c r="H207" s="18">
        <v>152178.69</v>
      </c>
      <c r="I207" s="18">
        <v>126769.97</v>
      </c>
      <c r="J207" s="18">
        <v>45679.65</v>
      </c>
      <c r="K207" s="18"/>
      <c r="L207" s="19">
        <f t="shared" si="0"/>
        <v>571336.81000000006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299901.8+161833.29+6310.3+7741.75</f>
        <v>475787.13999999996</v>
      </c>
      <c r="I208" s="18"/>
      <c r="J208" s="18"/>
      <c r="K208" s="18"/>
      <c r="L208" s="19">
        <f t="shared" si="0"/>
        <v>475787.13999999996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77310.3</v>
      </c>
      <c r="G209" s="18">
        <v>14592.47</v>
      </c>
      <c r="H209" s="18">
        <f>15480.71+1000+505.89</f>
        <v>16986.599999999999</v>
      </c>
      <c r="I209" s="18">
        <v>12836.59</v>
      </c>
      <c r="J209" s="18">
        <v>70931.56</v>
      </c>
      <c r="K209" s="18">
        <v>224</v>
      </c>
      <c r="L209" s="19">
        <f>SUM(F209:K209)</f>
        <v>192881.52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3742373.1199999996</v>
      </c>
      <c r="G211" s="41">
        <f t="shared" si="1"/>
        <v>1697647.5699999998</v>
      </c>
      <c r="H211" s="41">
        <f t="shared" si="1"/>
        <v>1284692.7</v>
      </c>
      <c r="I211" s="41">
        <f t="shared" si="1"/>
        <v>235245.43000000002</v>
      </c>
      <c r="J211" s="41">
        <f t="shared" si="1"/>
        <v>133467.54999999999</v>
      </c>
      <c r="K211" s="41">
        <f t="shared" si="1"/>
        <v>8779.01</v>
      </c>
      <c r="L211" s="41">
        <f t="shared" si="1"/>
        <v>7102205.379999998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f>295607.19+2460</f>
        <v>298067.19</v>
      </c>
      <c r="I216" s="18"/>
      <c r="J216" s="18"/>
      <c r="K216" s="18"/>
      <c r="L216" s="19">
        <f>SUM(F216:K216)</f>
        <v>298067.19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298067.19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298067.19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2945896.57</v>
      </c>
      <c r="I233" s="18"/>
      <c r="J233" s="18"/>
      <c r="K233" s="18"/>
      <c r="L233" s="19">
        <f>SUM(F233:K233)</f>
        <v>2945896.57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86479.84+825058.56+42544.8+12323.66</f>
        <v>966406.8600000001</v>
      </c>
      <c r="I234" s="18"/>
      <c r="J234" s="18"/>
      <c r="K234" s="18"/>
      <c r="L234" s="19">
        <f>SUM(F234:K234)</f>
        <v>966406.8600000001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>
        <v>52341.41</v>
      </c>
      <c r="I238" s="18"/>
      <c r="J238" s="18"/>
      <c r="K238" s="18"/>
      <c r="L238" s="19">
        <f t="shared" ref="L238:L244" si="4">SUM(F238:K238)</f>
        <v>52341.41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252697.11</v>
      </c>
      <c r="I244" s="18"/>
      <c r="J244" s="18"/>
      <c r="K244" s="18"/>
      <c r="L244" s="19">
        <f t="shared" si="4"/>
        <v>252697.11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4217341.95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4217341.95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27885</v>
      </c>
      <c r="I255" s="18"/>
      <c r="J255" s="18"/>
      <c r="K255" s="18"/>
      <c r="L255" s="19">
        <f t="shared" si="6"/>
        <v>27885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27885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27885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3742373.1199999996</v>
      </c>
      <c r="G257" s="41">
        <f t="shared" si="8"/>
        <v>1697647.5699999998</v>
      </c>
      <c r="H257" s="41">
        <f t="shared" si="8"/>
        <v>5827986.8399999999</v>
      </c>
      <c r="I257" s="41">
        <f t="shared" si="8"/>
        <v>235245.43000000002</v>
      </c>
      <c r="J257" s="41">
        <f t="shared" si="8"/>
        <v>133467.54999999999</v>
      </c>
      <c r="K257" s="41">
        <f t="shared" si="8"/>
        <v>8779.01</v>
      </c>
      <c r="L257" s="41">
        <f t="shared" si="8"/>
        <v>11645499.52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75000</v>
      </c>
      <c r="L266" s="19">
        <f t="shared" si="9"/>
        <v>75000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75000</v>
      </c>
      <c r="L270" s="41">
        <f t="shared" si="9"/>
        <v>75000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3742373.1199999996</v>
      </c>
      <c r="G271" s="42">
        <f t="shared" si="11"/>
        <v>1697647.5699999998</v>
      </c>
      <c r="H271" s="42">
        <f t="shared" si="11"/>
        <v>5827986.8399999999</v>
      </c>
      <c r="I271" s="42">
        <f t="shared" si="11"/>
        <v>235245.43000000002</v>
      </c>
      <c r="J271" s="42">
        <f t="shared" si="11"/>
        <v>133467.54999999999</v>
      </c>
      <c r="K271" s="42">
        <f t="shared" si="11"/>
        <v>83779.009999999995</v>
      </c>
      <c r="L271" s="42">
        <f t="shared" si="11"/>
        <v>11720499.52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35499.57</v>
      </c>
      <c r="G276" s="18">
        <v>7742.55</v>
      </c>
      <c r="H276" s="18"/>
      <c r="I276" s="18">
        <v>800</v>
      </c>
      <c r="J276" s="18"/>
      <c r="K276" s="18"/>
      <c r="L276" s="19">
        <f>SUM(F276:K276)</f>
        <v>44042.12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72029.320000000007</v>
      </c>
      <c r="G277" s="18">
        <v>11462.01</v>
      </c>
      <c r="H277" s="18">
        <v>10863.24</v>
      </c>
      <c r="I277" s="18">
        <v>4800</v>
      </c>
      <c r="J277" s="18"/>
      <c r="K277" s="18"/>
      <c r="L277" s="19">
        <f>SUM(F277:K277)</f>
        <v>99154.57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537.5+17626.33</f>
        <v>18163.830000000002</v>
      </c>
      <c r="G281" s="18">
        <f>97.53+1348.39</f>
        <v>1445.92</v>
      </c>
      <c r="H281" s="18">
        <f>19805+1183.27</f>
        <v>20988.27</v>
      </c>
      <c r="I281" s="18"/>
      <c r="J281" s="18"/>
      <c r="K281" s="18"/>
      <c r="L281" s="19">
        <f t="shared" ref="L281:L287" si="12">SUM(F281:K281)</f>
        <v>40598.020000000004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1087.5</v>
      </c>
      <c r="G282" s="18">
        <v>236.78</v>
      </c>
      <c r="H282" s="18">
        <f>10252.81+500</f>
        <v>10752.81</v>
      </c>
      <c r="I282" s="18">
        <v>2658.9</v>
      </c>
      <c r="J282" s="18"/>
      <c r="K282" s="18"/>
      <c r="L282" s="19">
        <f t="shared" si="12"/>
        <v>14735.99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>
        <v>4942.8999999999996</v>
      </c>
      <c r="L285" s="19">
        <f t="shared" si="12"/>
        <v>4942.8999999999996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>
        <v>19381.02</v>
      </c>
      <c r="I288" s="18">
        <v>2400.84</v>
      </c>
      <c r="J288" s="18">
        <v>36723.51</v>
      </c>
      <c r="K288" s="18"/>
      <c r="L288" s="19">
        <f>SUM(F288:K288)</f>
        <v>58505.37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126780.22000000002</v>
      </c>
      <c r="G290" s="42">
        <f t="shared" si="13"/>
        <v>20887.260000000002</v>
      </c>
      <c r="H290" s="42">
        <f t="shared" si="13"/>
        <v>61985.34</v>
      </c>
      <c r="I290" s="42">
        <f t="shared" si="13"/>
        <v>10659.74</v>
      </c>
      <c r="J290" s="42">
        <f t="shared" si="13"/>
        <v>36723.51</v>
      </c>
      <c r="K290" s="42">
        <f t="shared" si="13"/>
        <v>4942.8999999999996</v>
      </c>
      <c r="L290" s="41">
        <f t="shared" si="13"/>
        <v>261978.97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126780.22000000002</v>
      </c>
      <c r="G338" s="41">
        <f t="shared" si="20"/>
        <v>20887.260000000002</v>
      </c>
      <c r="H338" s="41">
        <f t="shared" si="20"/>
        <v>61985.34</v>
      </c>
      <c r="I338" s="41">
        <f t="shared" si="20"/>
        <v>10659.74</v>
      </c>
      <c r="J338" s="41">
        <f t="shared" si="20"/>
        <v>36723.51</v>
      </c>
      <c r="K338" s="41">
        <f t="shared" si="20"/>
        <v>4942.8999999999996</v>
      </c>
      <c r="L338" s="41">
        <f t="shared" si="20"/>
        <v>261978.97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126780.22000000002</v>
      </c>
      <c r="G352" s="41">
        <f>G338</f>
        <v>20887.260000000002</v>
      </c>
      <c r="H352" s="41">
        <f>H338</f>
        <v>61985.34</v>
      </c>
      <c r="I352" s="41">
        <f>I338</f>
        <v>10659.74</v>
      </c>
      <c r="J352" s="41">
        <f>J338</f>
        <v>36723.51</v>
      </c>
      <c r="K352" s="47">
        <f>K338+K351</f>
        <v>4942.8999999999996</v>
      </c>
      <c r="L352" s="41">
        <f>L338+L351</f>
        <v>261978.97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61149.82</v>
      </c>
      <c r="G358" s="18">
        <v>21414.02</v>
      </c>
      <c r="H358" s="18">
        <v>9124.66</v>
      </c>
      <c r="I358" s="18">
        <v>95893.41</v>
      </c>
      <c r="J358" s="18">
        <v>738.46</v>
      </c>
      <c r="K358" s="18">
        <v>450</v>
      </c>
      <c r="L358" s="13">
        <f>SUM(F358:K358)</f>
        <v>188770.37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61149.82</v>
      </c>
      <c r="G362" s="47">
        <f t="shared" si="22"/>
        <v>21414.02</v>
      </c>
      <c r="H362" s="47">
        <f t="shared" si="22"/>
        <v>9124.66</v>
      </c>
      <c r="I362" s="47">
        <f t="shared" si="22"/>
        <v>95893.41</v>
      </c>
      <c r="J362" s="47">
        <f t="shared" si="22"/>
        <v>738.46</v>
      </c>
      <c r="K362" s="47">
        <f t="shared" si="22"/>
        <v>450</v>
      </c>
      <c r="L362" s="47">
        <f t="shared" si="22"/>
        <v>188770.37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89077.99</v>
      </c>
      <c r="G367" s="18"/>
      <c r="H367" s="18"/>
      <c r="I367" s="56">
        <f>SUM(F367:H367)</f>
        <v>89077.99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6815.42</v>
      </c>
      <c r="G368" s="63"/>
      <c r="H368" s="63"/>
      <c r="I368" s="56">
        <f>SUM(F368:H368)</f>
        <v>6815.42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95893.41</v>
      </c>
      <c r="G369" s="47">
        <f>SUM(G367:G368)</f>
        <v>0</v>
      </c>
      <c r="H369" s="47">
        <f>SUM(H367:H368)</f>
        <v>0</v>
      </c>
      <c r="I369" s="47">
        <f>SUM(I367:I368)</f>
        <v>95893.41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>
        <v>81569</v>
      </c>
      <c r="I375" s="18"/>
      <c r="J375" s="18"/>
      <c r="K375" s="18"/>
      <c r="L375" s="13">
        <f t="shared" ref="L375:L381" si="23">SUM(F375:K375)</f>
        <v>81569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81569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81569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>
        <v>175.12</v>
      </c>
      <c r="I388" s="18"/>
      <c r="J388" s="24" t="s">
        <v>289</v>
      </c>
      <c r="K388" s="24" t="s">
        <v>289</v>
      </c>
      <c r="L388" s="56">
        <f t="shared" si="25"/>
        <v>175.12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175.12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175.12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75000</v>
      </c>
      <c r="H397" s="18">
        <v>133.87</v>
      </c>
      <c r="I397" s="18"/>
      <c r="J397" s="24" t="s">
        <v>289</v>
      </c>
      <c r="K397" s="24" t="s">
        <v>289</v>
      </c>
      <c r="L397" s="56">
        <f t="shared" si="26"/>
        <v>75133.87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75000</v>
      </c>
      <c r="H401" s="47">
        <f>SUM(H395:H400)</f>
        <v>133.87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75133.87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75000</v>
      </c>
      <c r="H408" s="47">
        <f>H393+H401+H407</f>
        <v>308.99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75308.989999999991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>
        <v>81571</v>
      </c>
      <c r="K414" s="18"/>
      <c r="L414" s="56">
        <f t="shared" si="27"/>
        <v>81571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81571</v>
      </c>
      <c r="K419" s="139">
        <f t="shared" si="28"/>
        <v>0</v>
      </c>
      <c r="L419" s="47">
        <f t="shared" si="28"/>
        <v>81571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>
        <v>27829.43</v>
      </c>
      <c r="I423" s="18"/>
      <c r="J423" s="18"/>
      <c r="K423" s="18"/>
      <c r="L423" s="56">
        <f t="shared" si="29"/>
        <v>27829.43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27829.43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27829.43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27829.43</v>
      </c>
      <c r="I434" s="47">
        <f t="shared" si="32"/>
        <v>0</v>
      </c>
      <c r="J434" s="47">
        <f t="shared" si="32"/>
        <v>81571</v>
      </c>
      <c r="K434" s="47">
        <f t="shared" si="32"/>
        <v>0</v>
      </c>
      <c r="L434" s="47">
        <f t="shared" si="32"/>
        <v>109400.43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v>201398.52</v>
      </c>
      <c r="H441" s="18"/>
      <c r="I441" s="56">
        <f t="shared" si="33"/>
        <v>201398.52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201398.52</v>
      </c>
      <c r="H446" s="13">
        <f>SUM(H439:H445)</f>
        <v>0</v>
      </c>
      <c r="I446" s="13">
        <f>SUM(I439:I445)</f>
        <v>201398.52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201398.52</v>
      </c>
      <c r="H459" s="18"/>
      <c r="I459" s="56">
        <f t="shared" si="34"/>
        <v>201398.52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201398.52</v>
      </c>
      <c r="H460" s="83">
        <f>SUM(H454:H459)</f>
        <v>0</v>
      </c>
      <c r="I460" s="83">
        <f>SUM(I454:I459)</f>
        <v>201398.52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201398.52</v>
      </c>
      <c r="H461" s="42">
        <f>H452+H460</f>
        <v>0</v>
      </c>
      <c r="I461" s="42">
        <f>I452+I460</f>
        <v>201398.52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65120.04</v>
      </c>
      <c r="G465" s="18">
        <v>69186.100000000006</v>
      </c>
      <c r="H465" s="18"/>
      <c r="I465" s="18"/>
      <c r="J465" s="18">
        <v>235489.96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12185986.949999999</v>
      </c>
      <c r="G468" s="18">
        <v>202705.96</v>
      </c>
      <c r="H468" s="18">
        <v>261978.97</v>
      </c>
      <c r="I468" s="18"/>
      <c r="J468" s="18">
        <v>75308.990000000005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>
        <v>81569</v>
      </c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12185986.949999999</v>
      </c>
      <c r="G470" s="53">
        <f>SUM(G468:G469)</f>
        <v>202705.96</v>
      </c>
      <c r="H470" s="53">
        <f>SUM(H468:H469)</f>
        <v>261978.97</v>
      </c>
      <c r="I470" s="53">
        <f>SUM(I468:I469)</f>
        <v>81569</v>
      </c>
      <c r="J470" s="53">
        <f>SUM(J468:J469)</f>
        <v>75308.990000000005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11720499.52</v>
      </c>
      <c r="G472" s="18">
        <v>188770.37</v>
      </c>
      <c r="H472" s="18">
        <v>261978.97</v>
      </c>
      <c r="I472" s="18">
        <v>81569</v>
      </c>
      <c r="J472" s="18">
        <v>109400.43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11720499.52</v>
      </c>
      <c r="G474" s="53">
        <f>SUM(G472:G473)</f>
        <v>188770.37</v>
      </c>
      <c r="H474" s="53">
        <f>SUM(H472:H473)</f>
        <v>261978.97</v>
      </c>
      <c r="I474" s="53">
        <f>SUM(I472:I473)</f>
        <v>81569</v>
      </c>
      <c r="J474" s="53">
        <f>SUM(J472:J473)</f>
        <v>109400.43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530607.46999999881</v>
      </c>
      <c r="G476" s="53">
        <f>(G465+G470)- G474</f>
        <v>83121.69</v>
      </c>
      <c r="H476" s="53">
        <f>(H465+H470)- H474</f>
        <v>0</v>
      </c>
      <c r="I476" s="53">
        <f>(I465+I470)- I474</f>
        <v>0</v>
      </c>
      <c r="J476" s="53">
        <f>(J465+J470)- J474</f>
        <v>201398.52000000002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590107.53</v>
      </c>
      <c r="G521" s="18">
        <f>255332.62-68855.59</f>
        <v>186477.03</v>
      </c>
      <c r="H521" s="18">
        <f>475+24157</f>
        <v>24632</v>
      </c>
      <c r="I521" s="18">
        <v>6390.33</v>
      </c>
      <c r="J521" s="18">
        <v>1248.3900000000001</v>
      </c>
      <c r="K521" s="18"/>
      <c r="L521" s="88">
        <f>SUM(F521:K521)</f>
        <v>808855.28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f>2460+295607.19</f>
        <v>298067.19</v>
      </c>
      <c r="I522" s="18"/>
      <c r="J522" s="18"/>
      <c r="K522" s="18"/>
      <c r="L522" s="88">
        <f>SUM(F522:K522)</f>
        <v>298067.19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f>12323.66+42544.8+86479.84+825058.56+863.24</f>
        <v>967270.10000000009</v>
      </c>
      <c r="I523" s="18"/>
      <c r="J523" s="18"/>
      <c r="K523" s="18"/>
      <c r="L523" s="88">
        <f>SUM(F523:K523)</f>
        <v>967270.10000000009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590107.53</v>
      </c>
      <c r="G524" s="108">
        <f t="shared" ref="G524:L524" si="36">SUM(G521:G523)</f>
        <v>186477.03</v>
      </c>
      <c r="H524" s="108">
        <f t="shared" si="36"/>
        <v>1289969.29</v>
      </c>
      <c r="I524" s="108">
        <f t="shared" si="36"/>
        <v>6390.33</v>
      </c>
      <c r="J524" s="108">
        <f t="shared" si="36"/>
        <v>1248.3900000000001</v>
      </c>
      <c r="K524" s="108">
        <f t="shared" si="36"/>
        <v>0</v>
      </c>
      <c r="L524" s="89">
        <f t="shared" si="36"/>
        <v>2074192.57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225457.22</v>
      </c>
      <c r="G526" s="18">
        <v>80145.36</v>
      </c>
      <c r="H526" s="18">
        <v>194927.31</v>
      </c>
      <c r="I526" s="18">
        <v>4194.18</v>
      </c>
      <c r="J526" s="18"/>
      <c r="K526" s="18">
        <v>200</v>
      </c>
      <c r="L526" s="88">
        <f>SUM(F526:K526)</f>
        <v>504924.07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>
        <v>1000</v>
      </c>
      <c r="I527" s="18"/>
      <c r="J527" s="18"/>
      <c r="K527" s="18"/>
      <c r="L527" s="88">
        <f>SUM(F527:K527)</f>
        <v>1000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90717.32</v>
      </c>
      <c r="I528" s="18"/>
      <c r="J528" s="18"/>
      <c r="K528" s="18"/>
      <c r="L528" s="88">
        <f>SUM(F528:K528)</f>
        <v>90717.32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225457.22</v>
      </c>
      <c r="G529" s="89">
        <f t="shared" ref="G529:L529" si="37">SUM(G526:G528)</f>
        <v>80145.36</v>
      </c>
      <c r="H529" s="89">
        <f t="shared" si="37"/>
        <v>286644.63</v>
      </c>
      <c r="I529" s="89">
        <f t="shared" si="37"/>
        <v>4194.18</v>
      </c>
      <c r="J529" s="89">
        <f t="shared" si="37"/>
        <v>0</v>
      </c>
      <c r="K529" s="89">
        <f t="shared" si="37"/>
        <v>200</v>
      </c>
      <c r="L529" s="89">
        <f t="shared" si="37"/>
        <v>596641.39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112530.02</v>
      </c>
      <c r="G531" s="18">
        <f>68855.59+97.53</f>
        <v>68953.119999999995</v>
      </c>
      <c r="H531" s="18">
        <v>3453.63</v>
      </c>
      <c r="I531" s="18"/>
      <c r="J531" s="18"/>
      <c r="K531" s="18">
        <v>655</v>
      </c>
      <c r="L531" s="88">
        <f>SUM(F531:K531)</f>
        <v>185591.77000000002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112530.02</v>
      </c>
      <c r="G534" s="89">
        <f t="shared" ref="G534:L534" si="38">SUM(G531:G533)</f>
        <v>68953.119999999995</v>
      </c>
      <c r="H534" s="89">
        <f t="shared" si="38"/>
        <v>3453.63</v>
      </c>
      <c r="I534" s="89">
        <f t="shared" si="38"/>
        <v>0</v>
      </c>
      <c r="J534" s="89">
        <f t="shared" si="38"/>
        <v>0</v>
      </c>
      <c r="K534" s="89">
        <f t="shared" si="38"/>
        <v>655</v>
      </c>
      <c r="L534" s="89">
        <f t="shared" si="38"/>
        <v>185591.77000000002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161833.29</v>
      </c>
      <c r="I541" s="18"/>
      <c r="J541" s="18"/>
      <c r="K541" s="18"/>
      <c r="L541" s="88">
        <f>SUM(F541:K541)</f>
        <v>161833.29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104849.73</v>
      </c>
      <c r="I543" s="18"/>
      <c r="J543" s="18"/>
      <c r="K543" s="18"/>
      <c r="L543" s="88">
        <f>SUM(F543:K543)</f>
        <v>104849.73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266683.02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266683.02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928094.77</v>
      </c>
      <c r="G545" s="89">
        <f t="shared" ref="G545:L545" si="41">G524+G529+G534+G539+G544</f>
        <v>335575.51</v>
      </c>
      <c r="H545" s="89">
        <f t="shared" si="41"/>
        <v>1846750.5699999998</v>
      </c>
      <c r="I545" s="89">
        <f t="shared" si="41"/>
        <v>10584.51</v>
      </c>
      <c r="J545" s="89">
        <f t="shared" si="41"/>
        <v>1248.3900000000001</v>
      </c>
      <c r="K545" s="89">
        <f t="shared" si="41"/>
        <v>855</v>
      </c>
      <c r="L545" s="89">
        <f t="shared" si="41"/>
        <v>3123108.75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808855.28</v>
      </c>
      <c r="G549" s="87">
        <f>L526</f>
        <v>504924.07</v>
      </c>
      <c r="H549" s="87">
        <f>L531</f>
        <v>185591.77000000002</v>
      </c>
      <c r="I549" s="87">
        <f>L536</f>
        <v>0</v>
      </c>
      <c r="J549" s="87">
        <f>L541</f>
        <v>161833.29</v>
      </c>
      <c r="K549" s="87">
        <f>SUM(F549:J549)</f>
        <v>1661204.4100000001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298067.19</v>
      </c>
      <c r="G550" s="87">
        <f>L527</f>
        <v>1000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299067.19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967270.10000000009</v>
      </c>
      <c r="G551" s="87">
        <f>L528</f>
        <v>90717.32</v>
      </c>
      <c r="H551" s="87">
        <f>L533</f>
        <v>0</v>
      </c>
      <c r="I551" s="87">
        <f>L538</f>
        <v>0</v>
      </c>
      <c r="J551" s="87">
        <f>L543</f>
        <v>104849.73</v>
      </c>
      <c r="K551" s="87">
        <f>SUM(F551:J551)</f>
        <v>1162837.1500000001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2074192.57</v>
      </c>
      <c r="G552" s="89">
        <f t="shared" si="42"/>
        <v>596641.39</v>
      </c>
      <c r="H552" s="89">
        <f t="shared" si="42"/>
        <v>185591.77000000002</v>
      </c>
      <c r="I552" s="89">
        <f t="shared" si="42"/>
        <v>0</v>
      </c>
      <c r="J552" s="89">
        <f t="shared" si="42"/>
        <v>266683.02</v>
      </c>
      <c r="K552" s="89">
        <f t="shared" si="42"/>
        <v>3123108.75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6275</v>
      </c>
      <c r="G562" s="18">
        <v>588.21</v>
      </c>
      <c r="H562" s="18"/>
      <c r="I562" s="18">
        <v>26.82</v>
      </c>
      <c r="J562" s="18"/>
      <c r="K562" s="18"/>
      <c r="L562" s="88">
        <f>SUM(F562:K562)</f>
        <v>6890.03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6275</v>
      </c>
      <c r="G565" s="89">
        <f t="shared" si="44"/>
        <v>588.21</v>
      </c>
      <c r="H565" s="89">
        <f t="shared" si="44"/>
        <v>0</v>
      </c>
      <c r="I565" s="89">
        <f t="shared" si="44"/>
        <v>26.82</v>
      </c>
      <c r="J565" s="89">
        <f t="shared" si="44"/>
        <v>0</v>
      </c>
      <c r="K565" s="89">
        <f t="shared" si="44"/>
        <v>0</v>
      </c>
      <c r="L565" s="89">
        <f t="shared" si="44"/>
        <v>6890.03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69522</v>
      </c>
      <c r="G567" s="18">
        <v>24435.84</v>
      </c>
      <c r="H567" s="18"/>
      <c r="I567" s="18"/>
      <c r="J567" s="18"/>
      <c r="K567" s="18"/>
      <c r="L567" s="88">
        <f>SUM(F567:K567)</f>
        <v>93957.84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>
        <v>12323.66</v>
      </c>
      <c r="I569" s="18"/>
      <c r="J569" s="18"/>
      <c r="K569" s="18"/>
      <c r="L569" s="88">
        <f>SUM(F569:K569)</f>
        <v>12323.66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69522</v>
      </c>
      <c r="G570" s="193">
        <f t="shared" ref="G570:L570" si="45">SUM(G567:G569)</f>
        <v>24435.84</v>
      </c>
      <c r="H570" s="193">
        <f t="shared" si="45"/>
        <v>12323.66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106281.5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75797</v>
      </c>
      <c r="G571" s="89">
        <f t="shared" ref="G571:L571" si="46">G560+G565+G570</f>
        <v>25024.05</v>
      </c>
      <c r="H571" s="89">
        <f t="shared" si="46"/>
        <v>12323.66</v>
      </c>
      <c r="I571" s="89">
        <f t="shared" si="46"/>
        <v>26.82</v>
      </c>
      <c r="J571" s="89">
        <f t="shared" si="46"/>
        <v>0</v>
      </c>
      <c r="K571" s="89">
        <f t="shared" si="46"/>
        <v>0</v>
      </c>
      <c r="L571" s="89">
        <f t="shared" si="46"/>
        <v>113171.53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>
        <v>417400</v>
      </c>
      <c r="I575" s="87">
        <f>SUM(F575:H575)</f>
        <v>417400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v>2528496.5699999998</v>
      </c>
      <c r="I577" s="87">
        <f t="shared" si="47"/>
        <v>2528496.5699999998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v>86479.84</v>
      </c>
      <c r="I579" s="87">
        <f t="shared" si="47"/>
        <v>86479.84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f>825058.56+12323.66</f>
        <v>837382.22000000009</v>
      </c>
      <c r="I581" s="87">
        <f t="shared" si="47"/>
        <v>837382.22000000009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24157</v>
      </c>
      <c r="G582" s="18">
        <v>295607.19</v>
      </c>
      <c r="H582" s="18">
        <v>42544.800000000003</v>
      </c>
      <c r="I582" s="87">
        <f t="shared" si="47"/>
        <v>362308.99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299901.8</v>
      </c>
      <c r="I591" s="18"/>
      <c r="J591" s="18">
        <v>147847.38</v>
      </c>
      <c r="K591" s="104">
        <f t="shared" ref="K591:K597" si="48">SUM(H591:J591)</f>
        <v>447749.18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161833.29</v>
      </c>
      <c r="I592" s="18"/>
      <c r="J592" s="18">
        <v>104849.73</v>
      </c>
      <c r="K592" s="104">
        <f t="shared" si="48"/>
        <v>266683.02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7741.75</v>
      </c>
      <c r="I594" s="18"/>
      <c r="J594" s="18"/>
      <c r="K594" s="104">
        <f t="shared" si="48"/>
        <v>7741.75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6310.3</v>
      </c>
      <c r="I595" s="18"/>
      <c r="J595" s="18"/>
      <c r="K595" s="104">
        <f t="shared" si="48"/>
        <v>6310.3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475787.13999999996</v>
      </c>
      <c r="I598" s="108">
        <f>SUM(I591:I597)</f>
        <v>0</v>
      </c>
      <c r="J598" s="108">
        <f>SUM(J591:J597)</f>
        <v>252697.11</v>
      </c>
      <c r="K598" s="108">
        <f>SUM(K591:K597)</f>
        <v>728484.25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170191.06</v>
      </c>
      <c r="I604" s="18"/>
      <c r="J604" s="18"/>
      <c r="K604" s="104">
        <f>SUM(H604:J604)</f>
        <v>170191.06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170191.06</v>
      </c>
      <c r="I605" s="108">
        <f>SUM(I602:I604)</f>
        <v>0</v>
      </c>
      <c r="J605" s="108">
        <f>SUM(J602:J604)</f>
        <v>0</v>
      </c>
      <c r="K605" s="108">
        <f>SUM(K602:K604)</f>
        <v>170191.06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18275.84</v>
      </c>
      <c r="G611" s="18">
        <v>2934.41</v>
      </c>
      <c r="H611" s="18">
        <v>475</v>
      </c>
      <c r="I611" s="18"/>
      <c r="J611" s="18"/>
      <c r="K611" s="18"/>
      <c r="L611" s="88">
        <f>SUM(F611:K611)</f>
        <v>21685.25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>
        <v>2460</v>
      </c>
      <c r="I612" s="18"/>
      <c r="J612" s="18"/>
      <c r="K612" s="18"/>
      <c r="L612" s="88">
        <f>SUM(F612:K612)</f>
        <v>2460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18275.84</v>
      </c>
      <c r="G614" s="108">
        <f t="shared" si="49"/>
        <v>2934.41</v>
      </c>
      <c r="H614" s="108">
        <f t="shared" si="49"/>
        <v>2935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24145.25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778574.40999999992</v>
      </c>
      <c r="H617" s="109">
        <f>SUM(F52)</f>
        <v>778574.40999999992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90179.33</v>
      </c>
      <c r="H618" s="109">
        <f>SUM(G52)</f>
        <v>90179.33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52884.57</v>
      </c>
      <c r="H619" s="109">
        <f>SUM(H52)</f>
        <v>52884.57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201398.52</v>
      </c>
      <c r="H621" s="109">
        <f>SUM(J52)</f>
        <v>201398.52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530607.47</v>
      </c>
      <c r="H622" s="109">
        <f>F476</f>
        <v>530607.46999999881</v>
      </c>
      <c r="I622" s="121" t="s">
        <v>101</v>
      </c>
      <c r="J622" s="109">
        <f t="shared" ref="J622:J655" si="50">G622-H622</f>
        <v>1.1641532182693481E-9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83121.69</v>
      </c>
      <c r="H623" s="109">
        <f>G476</f>
        <v>83121.69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201398.52</v>
      </c>
      <c r="H626" s="109">
        <f>J476</f>
        <v>201398.52000000002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12185986.950000001</v>
      </c>
      <c r="H627" s="104">
        <f>SUM(F468)</f>
        <v>12185986.949999999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202705.96</v>
      </c>
      <c r="H628" s="104">
        <f>SUM(G468)</f>
        <v>202705.96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261978.97</v>
      </c>
      <c r="H629" s="104">
        <f>SUM(H468)</f>
        <v>261978.97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75308.990000000005</v>
      </c>
      <c r="H631" s="104">
        <f>SUM(J468)</f>
        <v>75308.990000000005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11720499.52</v>
      </c>
      <c r="H632" s="104">
        <f>SUM(F472)</f>
        <v>11720499.52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261978.97</v>
      </c>
      <c r="H633" s="104">
        <f>SUM(H472)</f>
        <v>261978.97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95893.41</v>
      </c>
      <c r="H634" s="104">
        <f>I369</f>
        <v>95893.41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188770.37</v>
      </c>
      <c r="H635" s="104">
        <f>SUM(G472)</f>
        <v>188770.37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81569</v>
      </c>
      <c r="H636" s="104">
        <f>SUM(I472)</f>
        <v>81569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75308.989999999991</v>
      </c>
      <c r="H637" s="164">
        <f>SUM(J468)</f>
        <v>75308.990000000005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109400.43</v>
      </c>
      <c r="H638" s="164">
        <f>SUM(J472)</f>
        <v>109400.43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201398.52</v>
      </c>
      <c r="H640" s="104">
        <f>SUM(G461)</f>
        <v>201398.52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201398.52</v>
      </c>
      <c r="H642" s="104">
        <f>SUM(I461)</f>
        <v>201398.52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308.99</v>
      </c>
      <c r="H644" s="104">
        <f>H408</f>
        <v>308.99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75000</v>
      </c>
      <c r="H645" s="104">
        <f>G408</f>
        <v>75000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75308.990000000005</v>
      </c>
      <c r="H646" s="104">
        <f>L408</f>
        <v>75308.989999999991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728484.25</v>
      </c>
      <c r="H647" s="104">
        <f>L208+L226+L244</f>
        <v>728484.25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170191.06</v>
      </c>
      <c r="H648" s="104">
        <f>(J257+J338)-(J255+J336)</f>
        <v>170191.06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475787.13999999996</v>
      </c>
      <c r="H649" s="104">
        <f>H598</f>
        <v>475787.13999999996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252697.11</v>
      </c>
      <c r="H651" s="104">
        <f>J598</f>
        <v>252697.11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75000</v>
      </c>
      <c r="H655" s="104">
        <f>K266+K347</f>
        <v>75000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7552954.7199999979</v>
      </c>
      <c r="G660" s="19">
        <f>(L229+L309+L359)</f>
        <v>298067.19</v>
      </c>
      <c r="H660" s="19">
        <f>(L247+L328+L360)</f>
        <v>4217341.95</v>
      </c>
      <c r="I660" s="19">
        <f>SUM(F660:H660)</f>
        <v>12068363.859999999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147299.95000000001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147299.95000000001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475787.13999999996</v>
      </c>
      <c r="G662" s="19">
        <f>(L226+L306)-(J226+J306)</f>
        <v>0</v>
      </c>
      <c r="H662" s="19">
        <f>(L244+L325)-(J244+J325)</f>
        <v>252697.11</v>
      </c>
      <c r="I662" s="19">
        <f>SUM(F662:H662)</f>
        <v>728484.25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216033.31</v>
      </c>
      <c r="G663" s="199">
        <f>SUM(G575:G587)+SUM(I602:I604)+L612</f>
        <v>298067.19</v>
      </c>
      <c r="H663" s="199">
        <f>SUM(H575:H587)+SUM(J602:J604)+L613</f>
        <v>3912303.4299999997</v>
      </c>
      <c r="I663" s="19">
        <f>SUM(F663:H663)</f>
        <v>4426403.93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6713834.3199999984</v>
      </c>
      <c r="G664" s="19">
        <f>G660-SUM(G661:G663)</f>
        <v>0</v>
      </c>
      <c r="H664" s="19">
        <f>H660-SUM(H661:H663)</f>
        <v>52341.410000000615</v>
      </c>
      <c r="I664" s="19">
        <f>I660-SUM(I661:I663)</f>
        <v>6766175.7299999995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546.91999999999996</v>
      </c>
      <c r="G665" s="248"/>
      <c r="H665" s="248"/>
      <c r="I665" s="19">
        <f>SUM(F665:H665)</f>
        <v>546.91999999999996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12275.72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12371.42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-52341.41</v>
      </c>
      <c r="I669" s="19">
        <f>SUM(F669:H669)</f>
        <v>-52341.41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12275.72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12275.72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19" sqref="C1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Auburn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2205814.61</v>
      </c>
      <c r="C9" s="229">
        <f>'DOE25'!G197+'DOE25'!G215+'DOE25'!G233+'DOE25'!G276+'DOE25'!G295+'DOE25'!G314</f>
        <v>1044759.2000000001</v>
      </c>
    </row>
    <row r="10" spans="1:3" x14ac:dyDescent="0.2">
      <c r="A10" t="s">
        <v>779</v>
      </c>
      <c r="B10" s="240">
        <v>2122346.58</v>
      </c>
      <c r="C10" s="240">
        <v>1022412.01</v>
      </c>
    </row>
    <row r="11" spans="1:3" x14ac:dyDescent="0.2">
      <c r="A11" t="s">
        <v>780</v>
      </c>
      <c r="B11" s="240">
        <v>36018.160000000003</v>
      </c>
      <c r="C11" s="240">
        <v>18963.419999999998</v>
      </c>
    </row>
    <row r="12" spans="1:3" x14ac:dyDescent="0.2">
      <c r="A12" t="s">
        <v>781</v>
      </c>
      <c r="B12" s="240">
        <v>47449.87</v>
      </c>
      <c r="C12" s="240">
        <v>3383.77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2205814.6100000003</v>
      </c>
      <c r="C13" s="231">
        <f>SUM(C10:C12)</f>
        <v>1044759.2000000001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703436.99</v>
      </c>
      <c r="C18" s="229">
        <f>'DOE25'!G198+'DOE25'!G216+'DOE25'!G234+'DOE25'!G277+'DOE25'!G296+'DOE25'!G315</f>
        <v>255434.9</v>
      </c>
    </row>
    <row r="19" spans="1:3" x14ac:dyDescent="0.2">
      <c r="A19" t="s">
        <v>779</v>
      </c>
      <c r="B19" s="240">
        <v>384398.4</v>
      </c>
      <c r="C19" s="240">
        <v>163296.70000000001</v>
      </c>
    </row>
    <row r="20" spans="1:3" x14ac:dyDescent="0.2">
      <c r="A20" t="s">
        <v>780</v>
      </c>
      <c r="B20" s="240">
        <v>206546.07</v>
      </c>
      <c r="C20" s="240">
        <v>36159.440000000002</v>
      </c>
    </row>
    <row r="21" spans="1:3" x14ac:dyDescent="0.2">
      <c r="A21" t="s">
        <v>781</v>
      </c>
      <c r="B21" s="240">
        <v>112492.52</v>
      </c>
      <c r="C21" s="240">
        <v>55978.76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703436.99</v>
      </c>
      <c r="C22" s="231">
        <f>SUM(C19:C21)</f>
        <v>255434.90000000002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34332</v>
      </c>
      <c r="C36" s="235">
        <f>'DOE25'!G200+'DOE25'!G218+'DOE25'!G236+'DOE25'!G279+'DOE25'!G298+'DOE25'!G317</f>
        <v>5510.24</v>
      </c>
    </row>
    <row r="37" spans="1:3" x14ac:dyDescent="0.2">
      <c r="A37" t="s">
        <v>779</v>
      </c>
      <c r="B37" s="240">
        <v>25817.48</v>
      </c>
      <c r="C37" s="240">
        <v>4869.0200000000004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8514.52</v>
      </c>
      <c r="C39" s="240">
        <v>641.22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34332</v>
      </c>
      <c r="C40" s="231">
        <f>SUM(C37:C39)</f>
        <v>5510.2400000000007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F34" sqref="F34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Auburn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8679570.4499999993</v>
      </c>
      <c r="D5" s="20">
        <f>SUM('DOE25'!L197:L200)+SUM('DOE25'!L215:L218)+SUM('DOE25'!L233:L236)-F5-G5</f>
        <v>8662333.4100000001</v>
      </c>
      <c r="E5" s="243"/>
      <c r="F5" s="255">
        <f>SUM('DOE25'!J197:J200)+SUM('DOE25'!J215:J218)+SUM('DOE25'!J233:J236)</f>
        <v>15997.039999999999</v>
      </c>
      <c r="G5" s="53">
        <f>SUM('DOE25'!K197:K200)+SUM('DOE25'!K215:K218)+SUM('DOE25'!K233:K236)</f>
        <v>1240</v>
      </c>
      <c r="H5" s="259"/>
    </row>
    <row r="6" spans="1:9" x14ac:dyDescent="0.2">
      <c r="A6" s="32">
        <v>2100</v>
      </c>
      <c r="B6" t="s">
        <v>801</v>
      </c>
      <c r="C6" s="245">
        <f t="shared" si="0"/>
        <v>666301.32000000007</v>
      </c>
      <c r="D6" s="20">
        <f>'DOE25'!L202+'DOE25'!L220+'DOE25'!L238-F6-G6</f>
        <v>664056.52</v>
      </c>
      <c r="E6" s="243"/>
      <c r="F6" s="255">
        <f>'DOE25'!J202+'DOE25'!J220+'DOE25'!J238</f>
        <v>0</v>
      </c>
      <c r="G6" s="53">
        <f>'DOE25'!K202+'DOE25'!K220+'DOE25'!K238</f>
        <v>2244.8000000000002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100864.02</v>
      </c>
      <c r="D7" s="20">
        <f>'DOE25'!L203+'DOE25'!L221+'DOE25'!L239-F7-G7</f>
        <v>100518.71</v>
      </c>
      <c r="E7" s="243"/>
      <c r="F7" s="255">
        <f>'DOE25'!J203+'DOE25'!J221+'DOE25'!J239</f>
        <v>325.31</v>
      </c>
      <c r="G7" s="53">
        <f>'DOE25'!K203+'DOE25'!K221+'DOE25'!K239</f>
        <v>20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174172.50000000003</v>
      </c>
      <c r="D8" s="243"/>
      <c r="E8" s="20">
        <f>'DOE25'!L204+'DOE25'!L222+'DOE25'!L240-F8-G8-D9-D11</f>
        <v>170081.29000000004</v>
      </c>
      <c r="F8" s="255">
        <f>'DOE25'!J204+'DOE25'!J222+'DOE25'!J240</f>
        <v>0</v>
      </c>
      <c r="G8" s="53">
        <f>'DOE25'!K204+'DOE25'!K222+'DOE25'!K240</f>
        <v>4091.21</v>
      </c>
      <c r="H8" s="259"/>
    </row>
    <row r="9" spans="1:9" x14ac:dyDescent="0.2">
      <c r="A9" s="32">
        <v>2310</v>
      </c>
      <c r="B9" t="s">
        <v>818</v>
      </c>
      <c r="C9" s="245">
        <f t="shared" si="0"/>
        <v>35341.43</v>
      </c>
      <c r="D9" s="244">
        <v>35341.43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8200</v>
      </c>
      <c r="D10" s="243"/>
      <c r="E10" s="244">
        <v>8200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86408.5</v>
      </c>
      <c r="D11" s="244">
        <v>86408.5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382253.72</v>
      </c>
      <c r="D12" s="20">
        <f>'DOE25'!L205+'DOE25'!L223+'DOE25'!L241-F12-G12</f>
        <v>380760.73</v>
      </c>
      <c r="E12" s="243"/>
      <c r="F12" s="255">
        <f>'DOE25'!J205+'DOE25'!J223+'DOE25'!J241</f>
        <v>533.99</v>
      </c>
      <c r="G12" s="53">
        <f>'DOE25'!K205+'DOE25'!K223+'DOE25'!K241</f>
        <v>959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571336.81000000006</v>
      </c>
      <c r="D14" s="20">
        <f>'DOE25'!L207+'DOE25'!L225+'DOE25'!L243-F14-G14</f>
        <v>525657.16</v>
      </c>
      <c r="E14" s="243"/>
      <c r="F14" s="255">
        <f>'DOE25'!J207+'DOE25'!J225+'DOE25'!J243</f>
        <v>45679.65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728484.25</v>
      </c>
      <c r="D15" s="20">
        <f>'DOE25'!L208+'DOE25'!L226+'DOE25'!L244-F15-G15</f>
        <v>728484.25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192881.52</v>
      </c>
      <c r="D16" s="243"/>
      <c r="E16" s="20">
        <f>'DOE25'!L209+'DOE25'!L227+'DOE25'!L245-F16-G16</f>
        <v>121725.95999999999</v>
      </c>
      <c r="F16" s="255">
        <f>'DOE25'!J209+'DOE25'!J227+'DOE25'!J245</f>
        <v>70931.56</v>
      </c>
      <c r="G16" s="53">
        <f>'DOE25'!K209+'DOE25'!K227+'DOE25'!K245</f>
        <v>224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27885</v>
      </c>
      <c r="D22" s="243"/>
      <c r="E22" s="243"/>
      <c r="F22" s="255">
        <f>'DOE25'!L255+'DOE25'!L336</f>
        <v>27885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99692.37999999999</v>
      </c>
      <c r="D29" s="20">
        <f>'DOE25'!L358+'DOE25'!L359+'DOE25'!L360-'DOE25'!I367-F29-G29</f>
        <v>98503.919999999984</v>
      </c>
      <c r="E29" s="243"/>
      <c r="F29" s="255">
        <f>'DOE25'!J358+'DOE25'!J359+'DOE25'!J360</f>
        <v>738.46</v>
      </c>
      <c r="G29" s="53">
        <f>'DOE25'!K358+'DOE25'!K359+'DOE25'!K360</f>
        <v>450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261978.97</v>
      </c>
      <c r="D31" s="20">
        <f>'DOE25'!L290+'DOE25'!L309+'DOE25'!L328+'DOE25'!L333+'DOE25'!L334+'DOE25'!L335-F31-G31</f>
        <v>220312.56</v>
      </c>
      <c r="E31" s="243"/>
      <c r="F31" s="255">
        <f>'DOE25'!J290+'DOE25'!J309+'DOE25'!J328+'DOE25'!J333+'DOE25'!J334+'DOE25'!J335</f>
        <v>36723.51</v>
      </c>
      <c r="G31" s="53">
        <f>'DOE25'!K290+'DOE25'!K309+'DOE25'!K328+'DOE25'!K333+'DOE25'!K334+'DOE25'!K335</f>
        <v>4942.8999999999996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11502377.190000001</v>
      </c>
      <c r="E33" s="246">
        <f>SUM(E5:E31)</f>
        <v>300007.25</v>
      </c>
      <c r="F33" s="246">
        <f>SUM(F5:F31)</f>
        <v>198814.52</v>
      </c>
      <c r="G33" s="246">
        <f>SUM(G5:G31)</f>
        <v>14171.91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300007.25</v>
      </c>
      <c r="E35" s="249"/>
    </row>
    <row r="36" spans="2:8" ht="12" thickTop="1" x14ac:dyDescent="0.2">
      <c r="B36" t="s">
        <v>815</v>
      </c>
      <c r="D36" s="20">
        <f>D33</f>
        <v>11502377.190000001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90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Auburn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707606.57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51067.51</v>
      </c>
      <c r="D11" s="95">
        <f>'DOE25'!G12</f>
        <v>86760.81</v>
      </c>
      <c r="E11" s="95">
        <f>'DOE25'!H12</f>
        <v>0</v>
      </c>
      <c r="F11" s="95">
        <f>'DOE25'!I12</f>
        <v>0</v>
      </c>
      <c r="G11" s="95">
        <f>'DOE25'!J12</f>
        <v>201398.52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17620.330000000002</v>
      </c>
      <c r="D12" s="95">
        <f>'DOE25'!G13</f>
        <v>3418.52</v>
      </c>
      <c r="E12" s="95">
        <f>'DOE25'!H13</f>
        <v>52884.57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2280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778574.40999999992</v>
      </c>
      <c r="D18" s="41">
        <f>SUM(D8:D17)</f>
        <v>90179.33</v>
      </c>
      <c r="E18" s="41">
        <f>SUM(E8:E17)</f>
        <v>52884.57</v>
      </c>
      <c r="F18" s="41">
        <f>SUM(F8:F17)</f>
        <v>0</v>
      </c>
      <c r="G18" s="41">
        <f>SUM(G8:G17)</f>
        <v>201398.52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86760.81</v>
      </c>
      <c r="D21" s="95">
        <f>'DOE25'!G22</f>
        <v>0</v>
      </c>
      <c r="E21" s="95">
        <f>'DOE25'!H22</f>
        <v>51067.51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9971.9599999999991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127238.82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23895.35</v>
      </c>
      <c r="D27" s="95">
        <f>'DOE25'!G28</f>
        <v>1452.44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100</v>
      </c>
      <c r="D29" s="95">
        <f>'DOE25'!G30</f>
        <v>5605.2</v>
      </c>
      <c r="E29" s="95">
        <f>'DOE25'!H30</f>
        <v>1817.06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247966.94</v>
      </c>
      <c r="D31" s="41">
        <f>SUM(D21:D30)</f>
        <v>7057.6399999999994</v>
      </c>
      <c r="E31" s="41">
        <f>SUM(E21:E30)</f>
        <v>52884.57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69690.22</v>
      </c>
      <c r="E47" s="95">
        <f>'DOE25'!H48</f>
        <v>0</v>
      </c>
      <c r="F47" s="95">
        <f>'DOE25'!I48</f>
        <v>0</v>
      </c>
      <c r="G47" s="95">
        <f>'DOE25'!J48</f>
        <v>201398.52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113055.2</v>
      </c>
      <c r="D48" s="95">
        <f>'DOE25'!G49</f>
        <v>13431.47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317552.27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530607.47</v>
      </c>
      <c r="D50" s="41">
        <f>SUM(D34:D49)</f>
        <v>83121.69</v>
      </c>
      <c r="E50" s="41">
        <f>SUM(E34:E49)</f>
        <v>0</v>
      </c>
      <c r="F50" s="41">
        <f>SUM(F34:F49)</f>
        <v>0</v>
      </c>
      <c r="G50" s="41">
        <f>SUM(G34:G49)</f>
        <v>201398.52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778574.40999999992</v>
      </c>
      <c r="D51" s="41">
        <f>D50+D31</f>
        <v>90179.33</v>
      </c>
      <c r="E51" s="41">
        <f>E50+E31</f>
        <v>52884.57</v>
      </c>
      <c r="F51" s="41">
        <f>F50+F31</f>
        <v>0</v>
      </c>
      <c r="G51" s="41">
        <f>G50+G31</f>
        <v>201398.52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8357959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230.28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308.99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147299.95000000001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126273.62000000001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126503.90000000001</v>
      </c>
      <c r="D62" s="130">
        <f>SUM(D57:D61)</f>
        <v>147299.95000000001</v>
      </c>
      <c r="E62" s="130">
        <f>SUM(E57:E61)</f>
        <v>0</v>
      </c>
      <c r="F62" s="130">
        <f>SUM(F57:F61)</f>
        <v>0</v>
      </c>
      <c r="G62" s="130">
        <f>SUM(G57:G61)</f>
        <v>308.99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8484462.9000000004</v>
      </c>
      <c r="D63" s="22">
        <f>D56+D62</f>
        <v>147299.95000000001</v>
      </c>
      <c r="E63" s="22">
        <f>E56+E62</f>
        <v>0</v>
      </c>
      <c r="F63" s="22">
        <f>F56+F62</f>
        <v>0</v>
      </c>
      <c r="G63" s="22">
        <f>G56+G62</f>
        <v>308.99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1817726.87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1616464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3434190.87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143365.96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2854.36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143365.96</v>
      </c>
      <c r="D78" s="130">
        <f>SUM(D72:D77)</f>
        <v>2854.36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3577556.83</v>
      </c>
      <c r="D81" s="130">
        <f>SUM(D79:D80)+D78+D70</f>
        <v>2854.36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123967.22</v>
      </c>
      <c r="D88" s="95">
        <f>SUM('DOE25'!G153:G161)</f>
        <v>52551.65</v>
      </c>
      <c r="E88" s="95">
        <f>SUM('DOE25'!H153:H161)</f>
        <v>261978.97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123967.22</v>
      </c>
      <c r="D91" s="131">
        <f>SUM(D85:D90)</f>
        <v>52551.65</v>
      </c>
      <c r="E91" s="131">
        <f>SUM(E85:E90)</f>
        <v>261978.97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75000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75000</v>
      </c>
    </row>
    <row r="104" spans="1:7" ht="12.75" thickTop="1" thickBot="1" x14ac:dyDescent="0.25">
      <c r="A104" s="33" t="s">
        <v>765</v>
      </c>
      <c r="C104" s="86">
        <f>C63+C81+C91+C103</f>
        <v>12185986.950000001</v>
      </c>
      <c r="D104" s="86">
        <f>D63+D81+D91+D103</f>
        <v>202705.96</v>
      </c>
      <c r="E104" s="86">
        <f>E63+E81+E91+E103</f>
        <v>261978.97</v>
      </c>
      <c r="F104" s="86">
        <f>F63+F81+F91+F103</f>
        <v>0</v>
      </c>
      <c r="G104" s="86">
        <f>G63+G81+G103</f>
        <v>75308.990000000005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6238558.5399999991</v>
      </c>
      <c r="D109" s="24" t="s">
        <v>289</v>
      </c>
      <c r="E109" s="95">
        <f>('DOE25'!L276)+('DOE25'!L295)+('DOE25'!L314)</f>
        <v>44042.12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2389882.8199999998</v>
      </c>
      <c r="D110" s="24" t="s">
        <v>289</v>
      </c>
      <c r="E110" s="95">
        <f>('DOE25'!L277)+('DOE25'!L296)+('DOE25'!L315)</f>
        <v>99154.57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51129.09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8679570.4499999993</v>
      </c>
      <c r="D115" s="86">
        <f>SUM(D109:D114)</f>
        <v>0</v>
      </c>
      <c r="E115" s="86">
        <f>SUM(E109:E114)</f>
        <v>143196.69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666301.32000000007</v>
      </c>
      <c r="D118" s="24" t="s">
        <v>289</v>
      </c>
      <c r="E118" s="95">
        <f>+('DOE25'!L281)+('DOE25'!L300)+('DOE25'!L319)</f>
        <v>40598.020000000004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100864.02</v>
      </c>
      <c r="D119" s="24" t="s">
        <v>289</v>
      </c>
      <c r="E119" s="95">
        <f>+('DOE25'!L282)+('DOE25'!L301)+('DOE25'!L320)</f>
        <v>14735.99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295922.43000000005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382253.72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4942.8999999999996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571336.81000000006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728484.25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192881.52</v>
      </c>
      <c r="D125" s="24" t="s">
        <v>289</v>
      </c>
      <c r="E125" s="95">
        <f>+('DOE25'!L288)+('DOE25'!L307)+('DOE25'!L326)</f>
        <v>58505.37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188770.37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2938044.07</v>
      </c>
      <c r="D128" s="86">
        <f>SUM(D118:D127)</f>
        <v>188770.37</v>
      </c>
      <c r="E128" s="86">
        <f>SUM(E118:E127)</f>
        <v>118782.28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27885</v>
      </c>
      <c r="D130" s="24" t="s">
        <v>289</v>
      </c>
      <c r="E130" s="129">
        <f>'DOE25'!L336</f>
        <v>0</v>
      </c>
      <c r="F130" s="129">
        <f>SUM('DOE25'!L374:'DOE25'!L380)</f>
        <v>81569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175.12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75133.87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-308.98999999999069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102885</v>
      </c>
      <c r="D144" s="141">
        <f>SUM(D130:D143)</f>
        <v>0</v>
      </c>
      <c r="E144" s="141">
        <f>SUM(E130:E143)</f>
        <v>0</v>
      </c>
      <c r="F144" s="141">
        <f>SUM(F130:F143)</f>
        <v>81569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11720499.52</v>
      </c>
      <c r="D145" s="86">
        <f>(D115+D128+D144)</f>
        <v>188770.37</v>
      </c>
      <c r="E145" s="86">
        <f>(E115+E128+E144)</f>
        <v>261978.97</v>
      </c>
      <c r="F145" s="86">
        <f>(F115+F128+F144)</f>
        <v>81569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Auburn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12276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12276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6282601</v>
      </c>
      <c r="D10" s="182">
        <f>ROUND((C10/$C$28)*100,1)</f>
        <v>52.7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2489037</v>
      </c>
      <c r="D11" s="182">
        <f>ROUND((C11/$C$28)*100,1)</f>
        <v>20.9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51129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706899</v>
      </c>
      <c r="D15" s="182">
        <f t="shared" ref="D15:D27" si="0">ROUND((C15/$C$28)*100,1)</f>
        <v>5.9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115600</v>
      </c>
      <c r="D16" s="182">
        <f t="shared" si="0"/>
        <v>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547309</v>
      </c>
      <c r="D17" s="182">
        <f t="shared" si="0"/>
        <v>4.5999999999999996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382254</v>
      </c>
      <c r="D18" s="182">
        <f t="shared" si="0"/>
        <v>3.2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4943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571337</v>
      </c>
      <c r="D20" s="182">
        <f t="shared" si="0"/>
        <v>4.8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728484</v>
      </c>
      <c r="D21" s="182">
        <f t="shared" si="0"/>
        <v>6.1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41470.049999999988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11921063.050000001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109454</v>
      </c>
    </row>
    <row r="30" spans="1:4" x14ac:dyDescent="0.2">
      <c r="B30" s="187" t="s">
        <v>729</v>
      </c>
      <c r="C30" s="180">
        <f>SUM(C28:C29)</f>
        <v>12030517.050000001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8357959</v>
      </c>
      <c r="D35" s="182">
        <f t="shared" ref="D35:D40" si="1">ROUND((C35/$C$41)*100,1)</f>
        <v>66.8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126812.8900000006</v>
      </c>
      <c r="D36" s="182">
        <f t="shared" si="1"/>
        <v>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3434191</v>
      </c>
      <c r="D37" s="182">
        <f t="shared" si="1"/>
        <v>27.5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146220</v>
      </c>
      <c r="D38" s="182">
        <f t="shared" si="1"/>
        <v>1.2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438498</v>
      </c>
      <c r="D39" s="182">
        <f t="shared" si="1"/>
        <v>3.5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12503680.890000001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Auburn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2015-10-12T13:50:04Z</cp:lastPrinted>
  <dcterms:created xsi:type="dcterms:W3CDTF">1997-12-04T19:04:30Z</dcterms:created>
  <dcterms:modified xsi:type="dcterms:W3CDTF">2015-10-23T17:32:36Z</dcterms:modified>
</cp:coreProperties>
</file>