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D15" i="13" s="1"/>
  <c r="C15" i="13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H169" i="1" s="1"/>
  <c r="I147" i="1"/>
  <c r="I162" i="1"/>
  <c r="C11" i="10"/>
  <c r="C12" i="10"/>
  <c r="C16" i="10"/>
  <c r="C17" i="10"/>
  <c r="C18" i="10"/>
  <c r="C19" i="10"/>
  <c r="L250" i="1"/>
  <c r="L332" i="1"/>
  <c r="L254" i="1"/>
  <c r="L268" i="1"/>
  <c r="L269" i="1"/>
  <c r="L349" i="1"/>
  <c r="L350" i="1"/>
  <c r="I665" i="1"/>
  <c r="I670" i="1"/>
  <c r="L229" i="1"/>
  <c r="F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E119" i="2"/>
  <c r="C120" i="2"/>
  <c r="E120" i="2"/>
  <c r="C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H461" i="1" s="1"/>
  <c r="H641" i="1" s="1"/>
  <c r="I460" i="1"/>
  <c r="F461" i="1"/>
  <c r="G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G642" i="1"/>
  <c r="H642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C26" i="10"/>
  <c r="L328" i="1"/>
  <c r="L351" i="1"/>
  <c r="A31" i="12"/>
  <c r="C70" i="2"/>
  <c r="A40" i="12"/>
  <c r="D12" i="13"/>
  <c r="C12" i="13" s="1"/>
  <c r="D18" i="13"/>
  <c r="C18" i="13" s="1"/>
  <c r="D18" i="2"/>
  <c r="D17" i="13"/>
  <c r="C17" i="13" s="1"/>
  <c r="C91" i="2"/>
  <c r="F78" i="2"/>
  <c r="F81" i="2" s="1"/>
  <c r="C78" i="2"/>
  <c r="D50" i="2"/>
  <c r="F18" i="2"/>
  <c r="E103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H112" i="1"/>
  <c r="J639" i="1"/>
  <c r="L433" i="1"/>
  <c r="I169" i="1"/>
  <c r="G552" i="1"/>
  <c r="J476" i="1"/>
  <c r="H626" i="1" s="1"/>
  <c r="F476" i="1"/>
  <c r="H622" i="1" s="1"/>
  <c r="I476" i="1"/>
  <c r="H625" i="1" s="1"/>
  <c r="J625" i="1" s="1"/>
  <c r="J140" i="1"/>
  <c r="I552" i="1"/>
  <c r="K550" i="1"/>
  <c r="G22" i="2"/>
  <c r="J552" i="1"/>
  <c r="H552" i="1"/>
  <c r="C29" i="10"/>
  <c r="H140" i="1"/>
  <c r="L401" i="1"/>
  <c r="C139" i="2" s="1"/>
  <c r="A13" i="12"/>
  <c r="F22" i="13"/>
  <c r="J651" i="1"/>
  <c r="J640" i="1"/>
  <c r="H571" i="1"/>
  <c r="J545" i="1"/>
  <c r="H338" i="1"/>
  <c r="H352" i="1" s="1"/>
  <c r="G192" i="1"/>
  <c r="H192" i="1"/>
  <c r="L309" i="1"/>
  <c r="E16" i="13"/>
  <c r="J636" i="1"/>
  <c r="G36" i="2"/>
  <c r="L565" i="1"/>
  <c r="K551" i="1"/>
  <c r="C22" i="13"/>
  <c r="C16" i="13"/>
  <c r="C81" i="2" l="1"/>
  <c r="L570" i="1"/>
  <c r="H545" i="1"/>
  <c r="F552" i="1"/>
  <c r="L524" i="1"/>
  <c r="L545" i="1" s="1"/>
  <c r="G545" i="1"/>
  <c r="H52" i="1"/>
  <c r="H619" i="1" s="1"/>
  <c r="J619" i="1" s="1"/>
  <c r="F192" i="1"/>
  <c r="G476" i="1"/>
  <c r="H623" i="1" s="1"/>
  <c r="J623" i="1" s="1"/>
  <c r="J645" i="1"/>
  <c r="K598" i="1"/>
  <c r="G647" i="1" s="1"/>
  <c r="J622" i="1"/>
  <c r="H476" i="1"/>
  <c r="H624" i="1" s="1"/>
  <c r="J644" i="1"/>
  <c r="K503" i="1"/>
  <c r="G164" i="2"/>
  <c r="G161" i="2"/>
  <c r="G156" i="2"/>
  <c r="L427" i="1"/>
  <c r="J617" i="1"/>
  <c r="C62" i="2"/>
  <c r="F112" i="1"/>
  <c r="C56" i="2"/>
  <c r="E115" i="2"/>
  <c r="E128" i="2"/>
  <c r="C10" i="10"/>
  <c r="L290" i="1"/>
  <c r="L338" i="1" s="1"/>
  <c r="L352" i="1" s="1"/>
  <c r="G633" i="1" s="1"/>
  <c r="J633" i="1" s="1"/>
  <c r="J634" i="1"/>
  <c r="I661" i="1"/>
  <c r="D145" i="2"/>
  <c r="H25" i="13"/>
  <c r="C25" i="13" s="1"/>
  <c r="C132" i="2"/>
  <c r="H33" i="13"/>
  <c r="L247" i="1"/>
  <c r="H660" i="1" s="1"/>
  <c r="H664" i="1" s="1"/>
  <c r="H667" i="1" s="1"/>
  <c r="I257" i="1"/>
  <c r="I271" i="1" s="1"/>
  <c r="C110" i="2"/>
  <c r="C115" i="2" s="1"/>
  <c r="F257" i="1"/>
  <c r="F271" i="1" s="1"/>
  <c r="H257" i="1"/>
  <c r="H271" i="1" s="1"/>
  <c r="C124" i="2"/>
  <c r="H647" i="1"/>
  <c r="F662" i="1"/>
  <c r="I662" i="1" s="1"/>
  <c r="C21" i="10"/>
  <c r="G649" i="1"/>
  <c r="J649" i="1" s="1"/>
  <c r="C123" i="2"/>
  <c r="C20" i="10"/>
  <c r="C118" i="2"/>
  <c r="L211" i="1"/>
  <c r="L257" i="1" s="1"/>
  <c r="L271" i="1" s="1"/>
  <c r="G632" i="1" s="1"/>
  <c r="J632" i="1" s="1"/>
  <c r="C15" i="10"/>
  <c r="G257" i="1"/>
  <c r="G271" i="1" s="1"/>
  <c r="K257" i="1"/>
  <c r="K271" i="1" s="1"/>
  <c r="J641" i="1"/>
  <c r="G624" i="1"/>
  <c r="K500" i="1"/>
  <c r="G112" i="1"/>
  <c r="K552" i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667" i="1"/>
  <c r="G672" i="1"/>
  <c r="C5" i="10" s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C27" i="10"/>
  <c r="G635" i="1"/>
  <c r="J635" i="1" s="1"/>
  <c r="J624" i="1" l="1"/>
  <c r="J647" i="1"/>
  <c r="G104" i="2"/>
  <c r="F193" i="1"/>
  <c r="G627" i="1" s="1"/>
  <c r="J627" i="1" s="1"/>
  <c r="C63" i="2"/>
  <c r="C104" i="2" s="1"/>
  <c r="E145" i="2"/>
  <c r="D31" i="13"/>
  <c r="C31" i="13" s="1"/>
  <c r="H672" i="1"/>
  <c r="C6" i="10" s="1"/>
  <c r="C128" i="2"/>
  <c r="C145" i="2" s="1"/>
  <c r="F660" i="1"/>
  <c r="F664" i="1" s="1"/>
  <c r="F672" i="1" s="1"/>
  <c r="C4" i="10" s="1"/>
  <c r="C28" i="10"/>
  <c r="D22" i="10" s="1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7" i="10" l="1"/>
  <c r="D13" i="10"/>
  <c r="D26" i="10"/>
  <c r="D11" i="10"/>
  <c r="D10" i="10"/>
  <c r="C30" i="10"/>
  <c r="D18" i="10"/>
  <c r="D25" i="10"/>
  <c r="D20" i="10"/>
  <c r="D15" i="10"/>
  <c r="D12" i="10"/>
  <c r="D17" i="10"/>
  <c r="D16" i="10"/>
  <c r="D19" i="10"/>
  <c r="D21" i="10"/>
  <c r="D24" i="10"/>
  <c r="D23" i="10"/>
  <c r="F667" i="1"/>
  <c r="I660" i="1"/>
  <c r="I664" i="1" s="1"/>
  <c r="I672" i="1" s="1"/>
  <c r="C7" i="10" s="1"/>
  <c r="G637" i="1"/>
  <c r="J637" i="1" s="1"/>
  <c r="H646" i="1"/>
  <c r="J646" i="1" s="1"/>
  <c r="C41" i="10"/>
  <c r="D38" i="10" s="1"/>
  <c r="D28" i="10" l="1"/>
  <c r="I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<sst xmlns="http://schemas.openxmlformats.org/spreadsheetml/2006/main" count="3956" uniqueCount="914">
  <si>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</si>
  <si>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</si>
  <si>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</si>
  <si>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</si>
  <si>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</si>
  <si>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</si>
  <si>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</si>
  <si>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</si>
  <si>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</si>
  <si>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</si>
  <si>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</si>
  <si>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</si>
  <si>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</si>
  <si>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</si>
  <si>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</si>
  <si>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</si>
  <si>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</si>
  <si>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</si>
  <si>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</si>
  <si>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</si>
  <si>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</si>
  <si>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</si>
  <si>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</si>
  <si>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</si>
  <si>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</si>
  <si>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</si>
  <si>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</si>
  <si>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</si>
  <si>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</si>
  <si>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</si>
  <si>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</si>
  <si>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</si>
  <si>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</si>
  <si>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</si>
  <si>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</si>
  <si>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</si>
  <si>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</si>
  <si>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</si>
  <si>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</si>
  <si>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</si>
  <si>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</si>
  <si>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</si>
  <si>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</si>
  <si>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</si>
  <si>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</si>
  <si>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</si>
  <si>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</si>
  <si>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</si>
  <si>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</si>
  <si>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</si>
  <si>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</si>
  <si>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</si>
  <si>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</si>
  <si>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</si>
  <si>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</si>
  <si>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</si>
  <si>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</si>
  <si>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</si>
  <si>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</si>
  <si>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</si>
  <si>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</si>
  <si>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</si>
  <si>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</si>
  <si>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</si>
  <si>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</si>
  <si>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</si>
  <si>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</si>
  <si>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</si>
  <si>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</si>
  <si>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</si>
  <si>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</si>
  <si>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</si>
  <si>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</si>
  <si>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</si>
  <si>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</si>
  <si>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</si>
  <si>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</si>
  <si>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</si>
  <si>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</si>
  <si>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</si>
  <si>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</si>
  <si>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</si>
  <si>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</si>
  <si>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</si>
  <si>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</si>
  <si>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</si>
  <si>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</si>
  <si>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</si>
  <si>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</si>
  <si>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</si>
  <si>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</si>
  <si>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</si>
  <si>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</si>
  <si>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</si>
  <si>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</si>
  <si>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</si>
  <si>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</si>
  <si>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</si>
  <si>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</si>
  <si>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</si>
  <si>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</si>
  <si>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</si>
  <si>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</si>
  <si>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</si>
  <si>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</si>
  <si>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</si>
  <si>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</si>
  <si>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</si>
  <si>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</si>
  <si>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</si>
  <si>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</si>
  <si>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</si>
  <si>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</si>
  <si>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</si>
  <si>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</si>
  <si>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</si>
  <si>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</si>
  <si>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</si>
  <si>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</si>
  <si>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</si>
  <si>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</si>
  <si>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</si>
  <si>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</si>
  <si>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</si>
  <si>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</si>
  <si>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</si>
  <si>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</si>
  <si>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</si>
  <si>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</si>
  <si>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</si>
  <si>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</si>
  <si>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</si>
  <si>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</si>
  <si>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</si>
  <si>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</si>
  <si>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</si>
  <si>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</si>
  <si>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</si>
  <si>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</si>
  <si>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</si>
  <si>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</si>
  <si>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</si>
  <si>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</si>
  <si>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</si>
  <si>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</si>
  <si>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</si>
  <si>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</si>
  <si>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</si>
  <si>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</si>
  <si>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</si>
  <si>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</si>
  <si>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</si>
  <si>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</si>
  <si>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</si>
  <si>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</si>
  <si>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</si>
  <si>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</si>
  <si>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</si>
  <si>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</si>
  <si>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</si>
  <si>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</si>
  <si>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</si>
  <si>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</si>
  <si>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</si>
  <si>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</si>
  <si>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</si>
  <si>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</si>
  <si>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</si>
  <si>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</si>
  <si>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</si>
  <si>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</si>
  <si>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</si>
  <si>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</si>
  <si>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</si>
  <si>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</si>
  <si>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</si>
  <si>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</si>
  <si>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</si>
  <si>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</si>
  <si>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</si>
  <si>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</si>
  <si>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</si>
  <si>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</si>
  <si>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</si>
  <si>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</si>
  <si>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</si>
  <si>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</si>
  <si>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</si>
  <si>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</si>
  <si>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</si>
  <si>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</si>
  <si>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</si>
  <si>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</si>
  <si>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</si>
  <si>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</si>
  <si>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</si>
  <si>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</si>
  <si>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</si>
  <si>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</si>
  <si>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</si>
  <si>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</si>
  <si>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</si>
  <si>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</si>
  <si>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</si>
  <si>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</si>
  <si>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</si>
  <si>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</si>
  <si>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</si>
  <si>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</si>
  <si>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</si>
  <si>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</si>
  <si>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</si>
  <si>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</si>
  <si>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</si>
  <si>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</si>
  <si>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</si>
  <si>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</si>
  <si>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</si>
  <si>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</si>
  <si>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</si>
  <si>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</si>
  <si>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</si>
  <si>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</si>
  <si>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</si>
  <si>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</si>
  <si>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</si>
  <si>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</si>
  <si>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</si>
  <si>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</si>
  <si>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</si>
  <si>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</si>
  <si>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</si>
  <si>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</si>
  <si>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</si>
  <si>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</si>
  <si>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</si>
  <si>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</si>
  <si>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</si>
  <si>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</si>
  <si>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</si>
  <si>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</si>
  <si>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</si>
  <si>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</si>
  <si>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</si>
  <si>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</si>
  <si>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</si>
  <si>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</si>
  <si>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</si>
  <si>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</si>
  <si>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</si>
  <si>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</si>
  <si>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</si>
  <si>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</si>
  <si>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</si>
  <si>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</si>
  <si>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</si>
  <si>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</si>
  <si>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</si>
  <si>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</si>
  <si>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</si>
  <si>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</si>
  <si>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</si>
  <si>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</si>
  <si>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</si>
  <si>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</si>
  <si>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</si>
  <si>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</si>
  <si>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</si>
  <si>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</si>
  <si>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</si>
  <si>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</si>
  <si>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</si>
  <si>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</si>
  <si>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</si>
  <si>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</si>
  <si>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</si>
  <si>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</si>
  <si>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</si>
  <si>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</si>
  <si>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</si>
  <si>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</si>
  <si>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</si>
  <si>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</si>
  <si>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</si>
  <si>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</si>
  <si>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</si>
  <si>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</si>
  <si>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</si>
  <si>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</si>
  <si>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</si>
  <si>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</si>
  <si>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</si>
  <si>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</si>
  <si>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</si>
  <si>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</si>
  <si>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</si>
  <si>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</si>
  <si>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</si>
  <si>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</si>
  <si>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</si>
  <si>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</si>
  <si>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</si>
  <si>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</si>
  <si>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</si>
  <si>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</si>
  <si>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</si>
  <si>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</si>
  <si>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</si>
  <si>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</si>
  <si>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</si>
  <si>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</si>
  <si>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</si>
  <si>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</si>
  <si>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</si>
  <si>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</si>
  <si>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</si>
  <si>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</si>
  <si>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</si>
  <si>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</si>
  <si>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</si>
  <si>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</si>
  <si>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</si>
  <si>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</si>
  <si>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</si>
  <si>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</si>
  <si>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</si>
  <si>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</si>
  <si>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</si>
  <si>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</si>
  <si>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</si>
  <si>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</si>
  <si>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</si>
  <si>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</si>
  <si>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</si>
  <si>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</si>
  <si>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</si>
  <si>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</si>
  <si>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</si>
  <si>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</si>
  <si>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</si>
  <si>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</si>
  <si>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</si>
  <si>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</si>
  <si>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</si>
  <si>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</si>
  <si>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</si>
  <si>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</si>
  <si>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</si>
  <si>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</si>
  <si>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</si>
  <si>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</si>
  <si>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</si>
  <si>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</si>
  <si>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</si>
  <si>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</si>
  <si>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</si>
  <si>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</si>
  <si>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</si>
  <si>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</si>
  <si>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</si>
  <si>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</si>
  <si>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</si>
  <si>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</si>
  <si>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</si>
  <si>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</si>
  <si>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</si>
  <si>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</si>
  <si>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</si>
  <si>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</si>
  <si>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</si>
  <si>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</si>
  <si>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</si>
  <si>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</si>
  <si>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</si>
  <si>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</si>
  <si>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</si>
  <si>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</si>
  <si>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</si>
  <si>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</si>
  <si>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</si>
  <si>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</si>
  <si>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</si>
  <si>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</si>
  <si>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</si>
  <si>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</si>
  <si>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</si>
  <si>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</si>
  <si>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</si>
  <si>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</si>
  <si>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</si>
  <si>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</si>
  <si>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</si>
  <si>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</si>
  <si>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</si>
  <si>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</si>
  <si>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</si>
  <si>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</si>
  <si>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</si>
  <si>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</si>
  <si>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</si>
  <si>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</si>
  <si>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</si>
  <si>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</si>
  <si>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</si>
  <si>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</si>
  <si>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</si>
  <si>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</si>
  <si>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</si>
  <si>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</si>
  <si>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</si>
  <si>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</si>
  <si>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</si>
  <si>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</si>
  <si>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</si>
  <si>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</si>
  <si>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</si>
  <si>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</si>
  <si>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</si>
  <si>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</si>
  <si>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</si>
  <si>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</si>
  <si>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</si>
  <si>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</si>
  <si>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</si>
  <si>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</si>
  <si>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</si>
  <si>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</si>
  <si>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</si>
  <si>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</si>
  <si>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</si>
  <si>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</si>
  <si>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</si>
  <si>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</si>
  <si>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</si>
  <si>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</si>
  <si>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</si>
  <si>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</si>
  <si>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</si>
  <si>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</si>
  <si>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</si>
  <si>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</si>
  <si>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</si>
  <si>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</si>
  <si>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</si>
  <si>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</si>
  <si>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</si>
  <si>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</si>
  <si>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</si>
  <si>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</si>
  <si>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</si>
  <si>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</si>
  <si>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</si>
  <si>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</si>
  <si>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</si>
  <si>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</si>
  <si>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</si>
  <si>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</si>
  <si>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</si>
  <si>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</si>
  <si>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</si>
  <si>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</si>
  <si>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</si>
  <si>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</si>
  <si>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</si>
  <si>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</si>
  <si>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</si>
  <si>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</si>
  <si>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</si>
  <si>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</si>
  <si>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</si>
  <si>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</si>
  <si>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</si>
  <si>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</si>
  <si>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</si>
  <si>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</si>
  <si>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</si>
  <si>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</si>
  <si>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</si>
  <si>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</si>
  <si>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</si>
  <si>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</si>
  <si>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</si>
  <si>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</si>
  <si>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</si>
  <si>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</si>
  <si>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</si>
  <si>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</si>
  <si>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</si>
  <si>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</si>
  <si>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</si>
  <si>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</si>
  <si>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</si>
  <si>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</si>
  <si>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</si>
  <si>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</si>
  <si>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</si>
  <si>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</si>
  <si>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</si>
  <si>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</si>
  <si>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</si>
  <si>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</si>
  <si>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</si>
  <si>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</si>
  <si>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</si>
  <si>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</si>
  <si>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</si>
  <si>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</si>
  <si>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</si>
  <si>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</si>
  <si>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</si>
  <si>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</si>
  <si>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</si>
  <si>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</si>
  <si>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</si>
  <si>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</si>
  <si>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</si>
  <si>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</si>
  <si>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</si>
  <si>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</si>
  <si>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</si>
  <si>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</si>
  <si>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</si>
  <si>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</si>
  <si>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</si>
  <si>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</si>
  <si>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</si>
  <si>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</si>
  <si>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</si>
  <si>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</si>
  <si>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</si>
  <si>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</si>
  <si>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</si>
  <si>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</si>
  <si>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</si>
  <si>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</si>
  <si>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</si>
  <si>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</si>
  <si>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</si>
  <si>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</si>
  <si>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</si>
  <si>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</si>
  <si>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</si>
  <si>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</si>
  <si>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</si>
  <si>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</si>
  <si>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</si>
  <si>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</si>
  <si>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</si>
  <si>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</si>
  <si>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</si>
  <si>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</si>
  <si>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</si>
  <si>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</si>
  <si>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</si>
  <si>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</si>
  <si>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</si>
  <si>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</si>
  <si>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</si>
  <si>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</si>
  <si>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</si>
  <si>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</si>
  <si>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</si>
  <si>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</si>
  <si>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</si>
  <si>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</si>
  <si>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</si>
  <si>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</si>
  <si>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</si>
  <si>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</si>
  <si>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</si>
  <si>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</si>
  <si>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</si>
  <si>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</si>
  <si>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</si>
  <si>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</si>
  <si>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</si>
  <si>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</si>
  <si>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</si>
  <si>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</si>
  <si>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</si>
  <si>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</si>
  <si>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</si>
  <si>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</si>
  <si>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</si>
  <si>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</si>
  <si>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</si>
  <si>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</si>
  <si>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</si>
  <si>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</si>
  <si>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</si>
  <si>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</si>
  <si>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</si>
  <si>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</si>
  <si>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</si>
  <si>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</si>
  <si>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</si>
  <si>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</si>
  <si>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</si>
  <si>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</si>
  <si>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</si>
  <si>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</si>
  <si>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</si>
  <si>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</si>
  <si>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</si>
  <si>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</si>
  <si>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</si>
  <si>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</si>
  <si>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</si>
  <si>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</si>
  <si>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</si>
  <si>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</si>
  <si>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</si>
  <si>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</si>
  <si>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</si>
  <si>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</si>
  <si>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</si>
  <si>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</si>
  <si>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</si>
  <si>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</si>
  <si>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</si>
  <si>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</si>
  <si>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</si>
  <si>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</si>
  <si>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</si>
  <si>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</si>
  <si>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</si>
  <si>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</si>
  <si>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</si>
  <si>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</si>
  <si>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</si>
  <si>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</si>
  <si>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</si>
  <si>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</si>
  <si>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</si>
  <si>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</si>
  <si>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</si>
  <si>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</si>
  <si>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</si>
  <si>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</si>
  <si>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</si>
  <si>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</si>
  <si>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</si>
  <si>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</si>
  <si>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</si>
  <si>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</si>
  <si>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</si>
  <si>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</si>
  <si>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</si>
  <si>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</si>
  <si>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</si>
  <si>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</si>
  <si>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</si>
  <si>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</si>
  <si>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</si>
  <si>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</si>
  <si>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</si>
  <si>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</si>
  <si>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</si>
  <si>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</si>
  <si>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</si>
  <si>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</si>
  <si>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</si>
  <si>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</si>
  <si>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</si>
  <si>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</si>
  <si>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</si>
  <si>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</si>
  <si>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</si>
  <si>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</si>
  <si>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</si>
  <si>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</si>
  <si>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</si>
  <si>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</si>
  <si>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</si>
  <si>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</si>
  <si>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</si>
  <si>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</si>
  <si>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</si>
  <si>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</si>
  <si>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</si>
  <si>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</si>
  <si>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</si>
  <si>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</si>
  <si>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</si>
  <si>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</si>
  <si>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</si>
  <si>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</si>
  <si>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</si>
  <si>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</si>
  <si>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</si>
  <si>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</si>
  <si>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</si>
  <si>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</si>
  <si>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</si>
  <si>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</si>
  <si>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</si>
  <si>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</si>
  <si>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</si>
  <si>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</si>
  <si>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</si>
  <si>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</si>
  <si>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</si>
  <si>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</si>
  <si>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</si>
  <si>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</si>
  <si>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</si>
  <si>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</si>
  <si>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</si>
  <si>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</si>
  <si>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</si>
  <si>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</si>
  <si>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</si>
  <si>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</si>
  <si>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</si>
  <si>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</si>
  <si>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</si>
  <si>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</si>
  <si>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</si>
  <si>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</si>
  <si>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</si>
  <si>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</si>
  <si>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</si>
  <si>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</si>
  <si>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</si>
  <si>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</si>
  <si>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</si>
  <si>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</si>
  <si>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</si>
  <si>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</si>
  <si>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</si>
  <si>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</si>
  <si>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</si>
  <si>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</si>
  <si>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</si>
  <si>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</si>
  <si>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</si>
  <si>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</si>
  <si>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</si>
  <si>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</si>
  <si>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</si>
  <si>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</si>
  <si>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</si>
  <si>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</si>
  <si>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</si>
  <si>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</si>
  <si>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</si>
  <si>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</si>
  <si>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</si>
  <si>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</si>
  <si>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</si>
  <si>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</si>
  <si>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</si>
  <si>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</si>
  <si>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</si>
  <si>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</si>
  <si>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</si>
  <si>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</si>
  <si>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</si>
  <si>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</si>
  <si>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</si>
  <si>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</si>
  <si>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</si>
  <si>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</si>
  <si>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</si>
  <si>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</si>
  <si>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</si>
  <si>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</si>
  <si>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</si>
  <si>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</si>
  <si>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</si>
  <si>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</si>
  <si>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</si>
  <si>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</si>
  <si>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</si>
  <si>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</si>
  <si>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</si>
  <si>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</si>
  <si>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</si>
  <si>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</si>
  <si>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</si>
  <si>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</si>
  <si>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</si>
  <si>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</si>
  <si>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</si>
  <si>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</si>
  <si>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</si>
  <si>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</si>
  <si>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</si>
  <si>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</si>
  <si>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</si>
  <si>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</si>
  <si>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</si>
  <si>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</si>
  <si>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</si>
  <si>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</si>
  <si>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</si>
  <si>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</si>
  <si>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</si>
  <si>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</si>
  <si>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</si>
  <si>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</si>
  <si>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</si>
  <si>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</si>
  <si>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</si>
  <si>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</si>
  <si>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</si>
  <si>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</si>
  <si>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</si>
  <si>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</si>
  <si>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</si>
  <si>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</si>
  <si>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</si>
  <si>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</si>
  <si>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</si>
  <si>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</si>
  <si>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</si>
  <si>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</si>
  <si>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</si>
  <si>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</si>
  <si>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</si>
  <si>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</si>
  <si>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</si>
  <si>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</si>
  <si>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</si>
  <si>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</si>
  <si>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</si>
  <si>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</si>
  <si>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</si>
  <si>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</si>
  <si>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</si>
  <si>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</si>
  <si>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</si>
  <si>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</si>
  <si>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</si>
  <si>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</si>
  <si>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</si>
  <si>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</si>
  <si>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</si>
  <si>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</si>
  <si>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</si>
  <si>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</si>
  <si>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</si>
  <si>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</si>
  <si>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</si>
  <si>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</si>
  <si>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</si>
  <si>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</si>
  <si>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</si>
  <si>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</si>
  <si>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</si>
  <si>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</si>
  <si>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</si>
  <si>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</si>
  <si>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</si>
  <si>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</si>
  <si>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</si>
  <si>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</si>
  <si>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</si>
  <si>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</si>
  <si>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</si>
  <si>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</si>
  <si>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</si>
  <si>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</si>
  <si>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</si>
  <si>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</si>
  <si>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</si>
  <si>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</si>
  <si>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</si>
  <si>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</si>
  <si>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</si>
  <si>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</si>
  <si>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</si>
  <si>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</si>
  <si>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</si>
  <si>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</si>
  <si>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</si>
  <si>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</si>
  <si>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</si>
  <si>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</si>
  <si>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</si>
  <si>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</si>
  <si>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</si>
  <si>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</si>
  <si>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</si>
  <si>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</si>
  <si>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</si>
  <si>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</si>
  <si>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</si>
  <si>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</si>
  <si>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</si>
  <si>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</si>
  <si>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</si>
  <si>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</si>
  <si>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</si>
  <si>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</si>
  <si>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</si>
  <si>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</si>
  <si>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</si>
  <si>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</si>
  <si>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</si>
  <si>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</si>
  <si>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</si>
  <si>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</si>
  <si>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</si>
  <si>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</si>
  <si>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</si>
  <si>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</si>
  <si>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</si>
  <si>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</si>
  <si>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</si>
  <si>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</si>
  <si>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9/02</t>
  </si>
  <si>
    <t>8/22</t>
  </si>
  <si>
    <t>Barnstead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</si>
</sst>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12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31</v>
      </c>
      <c r="C2" s="21">
        <v>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386113.13</v>
      </c>
      <c r="G9" s="18">
        <v>81870.02</v>
      </c>
      <c r="H9" s="18"/>
      <c r="I9" s="18"/>
      <c r="J9" s="67">
        <f>SUM(I439)</f>
        <v>624592.87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144</v>
      </c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296856.86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255932.57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682969.99</v>
      </c>
      <c r="G19" s="41">
        <f>SUM(G9:G18)</f>
        <v>82014.02</v>
      </c>
      <c r="H19" s="41">
        <f>SUM(H9:H18)</f>
        <v>255932.57</v>
      </c>
      <c r="I19" s="41">
        <f>SUM(I9:I18)</f>
        <v>0</v>
      </c>
      <c r="J19" s="41">
        <f>SUM(J9:J18)</f>
        <v>624592.87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82718.94</v>
      </c>
      <c r="H22" s="18">
        <v>214137.92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45674.559999999998</v>
      </c>
      <c r="G24" s="18">
        <v>12865.07</v>
      </c>
      <c r="H24" s="18">
        <v>17450.88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6670.79</v>
      </c>
      <c r="H25" s="18">
        <v>24343.77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323233.26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368907.82</v>
      </c>
      <c r="G32" s="41">
        <f>SUM(G22:G31)</f>
        <v>102254.8</v>
      </c>
      <c r="H32" s="41">
        <f>SUM(H22:H31)</f>
        <v>255932.57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-20240.78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163196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624592.87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314062.17-163196</f>
        <v>150866.16999999998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314062.17</v>
      </c>
      <c r="G51" s="41">
        <f>SUM(G35:G50)</f>
        <v>-20240.78</v>
      </c>
      <c r="H51" s="41">
        <f>SUM(H35:H50)</f>
        <v>0</v>
      </c>
      <c r="I51" s="41">
        <f>SUM(I35:I50)</f>
        <v>0</v>
      </c>
      <c r="J51" s="41">
        <f>SUM(J35:J50)</f>
        <v>624592.87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682969.99</v>
      </c>
      <c r="G52" s="41">
        <f>G51+G32</f>
        <v>82014.02</v>
      </c>
      <c r="H52" s="41">
        <f>H51+H32</f>
        <v>255932.57</v>
      </c>
      <c r="I52" s="41">
        <f>I51+I32</f>
        <v>0</v>
      </c>
      <c r="J52" s="41">
        <f>J51+J32</f>
        <v>624592.87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7060775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7060775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-49385.91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82277.240000000005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32891.33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87.64</v>
      </c>
      <c r="G96" s="18">
        <v>6.44</v>
      </c>
      <c r="H96" s="18"/>
      <c r="I96" s="18"/>
      <c r="J96" s="18">
        <v>482.13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81418.55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383.05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470.69</v>
      </c>
      <c r="G111" s="41">
        <f>SUM(G96:G110)</f>
        <v>81424.990000000005</v>
      </c>
      <c r="H111" s="41">
        <f>SUM(H96:H110)</f>
        <v>0</v>
      </c>
      <c r="I111" s="41">
        <f>SUM(I96:I110)</f>
        <v>0</v>
      </c>
      <c r="J111" s="41">
        <f>SUM(J96:J110)</f>
        <v>482.13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7094137.0200000005</v>
      </c>
      <c r="G112" s="41">
        <f>G60+G111</f>
        <v>81424.990000000005</v>
      </c>
      <c r="H112" s="41">
        <f>H60+H79+H94+H111</f>
        <v>0</v>
      </c>
      <c r="I112" s="41">
        <f>I60+I111</f>
        <v>0</v>
      </c>
      <c r="J112" s="41">
        <f>J60+J111</f>
        <v>482.13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2843091.64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1067080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3910171.64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194882.82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8082.25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194882.82</v>
      </c>
      <c r="G136" s="41">
        <f>SUM(G123:G135)</f>
        <v>8082.25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4105054.46</v>
      </c>
      <c r="G140" s="41">
        <f>G121+SUM(G136:G137)</f>
        <v>8082.25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37876.58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37876.58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150442.51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3151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103088.8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109784.66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143624.93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111790.88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143624.93</v>
      </c>
      <c r="G162" s="41">
        <f>SUM(G150:G161)</f>
        <v>103088.8</v>
      </c>
      <c r="H162" s="41">
        <f>SUM(H150:H161)</f>
        <v>375169.05000000005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143624.93</v>
      </c>
      <c r="G169" s="41">
        <f>G147+G162+SUM(G163:G168)</f>
        <v>103088.8</v>
      </c>
      <c r="H169" s="41">
        <f>H147+H162+SUM(H163:H168)</f>
        <v>413045.63000000006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128535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128535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128535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11471351.41</v>
      </c>
      <c r="G193" s="47">
        <f>G112+G140+G169+G192</f>
        <v>192596.04</v>
      </c>
      <c r="H193" s="47">
        <f>H112+H140+H169+H192</f>
        <v>413045.63000000006</v>
      </c>
      <c r="I193" s="47">
        <f>I112+I140+I169+I192</f>
        <v>0</v>
      </c>
      <c r="J193" s="47">
        <f>J112+J140+J192</f>
        <v>160482.13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1736477.15</v>
      </c>
      <c r="G197" s="18">
        <v>804401.1</v>
      </c>
      <c r="H197" s="18">
        <v>23436.31</v>
      </c>
      <c r="I197" s="18">
        <v>119903.49</v>
      </c>
      <c r="J197" s="18">
        <v>5406.23</v>
      </c>
      <c r="K197" s="18">
        <v>1381.7</v>
      </c>
      <c r="L197" s="19">
        <f>SUM(F197:K197)</f>
        <v>2691005.9800000004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929968.95</v>
      </c>
      <c r="G198" s="18">
        <v>367346.05</v>
      </c>
      <c r="H198" s="18">
        <v>179625.92</v>
      </c>
      <c r="I198" s="18">
        <v>5090.6899999999996</v>
      </c>
      <c r="J198" s="18">
        <v>2022</v>
      </c>
      <c r="K198" s="18">
        <v>1142.05</v>
      </c>
      <c r="L198" s="19">
        <f>SUM(F198:K198)</f>
        <v>1485195.66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22000</v>
      </c>
      <c r="G200" s="18">
        <v>5179.17</v>
      </c>
      <c r="H200" s="18">
        <v>16330</v>
      </c>
      <c r="I200" s="18">
        <v>7994.83</v>
      </c>
      <c r="J200" s="18">
        <v>2650</v>
      </c>
      <c r="K200" s="18">
        <v>25</v>
      </c>
      <c r="L200" s="19">
        <f>SUM(F200:K200)</f>
        <v>54179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381838.34</v>
      </c>
      <c r="G202" s="18">
        <v>166070.74</v>
      </c>
      <c r="H202" s="18">
        <v>38275.120000000003</v>
      </c>
      <c r="I202" s="18">
        <v>6532.37</v>
      </c>
      <c r="J202" s="18">
        <v>225.56</v>
      </c>
      <c r="K202" s="18"/>
      <c r="L202" s="19">
        <f t="shared" ref="L202:L208" si="0">SUM(F202:K202)</f>
        <v>592942.13000000012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115784.94</v>
      </c>
      <c r="G203" s="18">
        <v>58819.19</v>
      </c>
      <c r="H203" s="18">
        <v>4384.22</v>
      </c>
      <c r="I203" s="18">
        <v>30823.68</v>
      </c>
      <c r="J203" s="18">
        <v>50320.08</v>
      </c>
      <c r="K203" s="18">
        <v>1600.32</v>
      </c>
      <c r="L203" s="19">
        <f t="shared" si="0"/>
        <v>261732.43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181873.91</v>
      </c>
      <c r="G204" s="18">
        <v>41636.69</v>
      </c>
      <c r="H204" s="18">
        <v>33140.839999999997</v>
      </c>
      <c r="I204" s="18">
        <v>18386.52</v>
      </c>
      <c r="J204" s="18">
        <v>240</v>
      </c>
      <c r="K204" s="18">
        <v>7874.93</v>
      </c>
      <c r="L204" s="19">
        <f t="shared" si="0"/>
        <v>283152.89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313785.96999999997</v>
      </c>
      <c r="G205" s="18">
        <v>137874.16</v>
      </c>
      <c r="H205" s="18">
        <v>24959.06</v>
      </c>
      <c r="I205" s="18">
        <v>6014.58</v>
      </c>
      <c r="J205" s="18"/>
      <c r="K205" s="18">
        <v>2619</v>
      </c>
      <c r="L205" s="19">
        <f t="shared" si="0"/>
        <v>485252.77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149170.71</v>
      </c>
      <c r="G207" s="18">
        <v>66197.919999999998</v>
      </c>
      <c r="H207" s="18">
        <v>299921.67</v>
      </c>
      <c r="I207" s="18">
        <v>156469.57</v>
      </c>
      <c r="J207" s="18">
        <v>327.16000000000003</v>
      </c>
      <c r="K207" s="18"/>
      <c r="L207" s="19">
        <f t="shared" si="0"/>
        <v>672087.03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2942.52</v>
      </c>
      <c r="G208" s="18">
        <v>188.39</v>
      </c>
      <c r="H208" s="18">
        <v>340935.14</v>
      </c>
      <c r="I208" s="18"/>
      <c r="J208" s="18"/>
      <c r="K208" s="18"/>
      <c r="L208" s="19">
        <f t="shared" si="0"/>
        <v>344066.05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3833842.4899999998</v>
      </c>
      <c r="G211" s="41">
        <f t="shared" si="1"/>
        <v>1647713.4099999995</v>
      </c>
      <c r="H211" s="41">
        <f t="shared" si="1"/>
        <v>961008.28</v>
      </c>
      <c r="I211" s="41">
        <f t="shared" si="1"/>
        <v>351215.73</v>
      </c>
      <c r="J211" s="41">
        <f t="shared" si="1"/>
        <v>61191.030000000006</v>
      </c>
      <c r="K211" s="41">
        <f t="shared" si="1"/>
        <v>14643</v>
      </c>
      <c r="L211" s="41">
        <f t="shared" si="1"/>
        <v>6869613.9399999995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3282072.3</v>
      </c>
      <c r="I233" s="18"/>
      <c r="J233" s="18"/>
      <c r="K233" s="18"/>
      <c r="L233" s="19">
        <f>SUM(F233:K233)</f>
        <v>3282072.3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58938.71</v>
      </c>
      <c r="G234" s="18">
        <v>48740.09</v>
      </c>
      <c r="H234" s="18">
        <v>14568.5</v>
      </c>
      <c r="I234" s="18">
        <v>13055.8</v>
      </c>
      <c r="J234" s="18"/>
      <c r="K234" s="18"/>
      <c r="L234" s="19">
        <f>SUM(F234:K234)</f>
        <v>135303.09999999998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155356.71</v>
      </c>
      <c r="I244" s="18"/>
      <c r="J244" s="18"/>
      <c r="K244" s="18"/>
      <c r="L244" s="19">
        <f t="shared" si="4"/>
        <v>155356.71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58938.71</v>
      </c>
      <c r="G247" s="41">
        <f t="shared" si="5"/>
        <v>48740.09</v>
      </c>
      <c r="H247" s="41">
        <f t="shared" si="5"/>
        <v>3451997.51</v>
      </c>
      <c r="I247" s="41">
        <f t="shared" si="5"/>
        <v>13055.8</v>
      </c>
      <c r="J247" s="41">
        <f t="shared" si="5"/>
        <v>0</v>
      </c>
      <c r="K247" s="41">
        <f t="shared" si="5"/>
        <v>0</v>
      </c>
      <c r="L247" s="41">
        <f t="shared" si="5"/>
        <v>3572732.11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3892781.1999999997</v>
      </c>
      <c r="G257" s="41">
        <f t="shared" si="8"/>
        <v>1696453.4999999995</v>
      </c>
      <c r="H257" s="41">
        <f t="shared" si="8"/>
        <v>4413005.79</v>
      </c>
      <c r="I257" s="41">
        <f t="shared" si="8"/>
        <v>364271.52999999997</v>
      </c>
      <c r="J257" s="41">
        <f t="shared" si="8"/>
        <v>61191.030000000006</v>
      </c>
      <c r="K257" s="41">
        <f t="shared" si="8"/>
        <v>14643</v>
      </c>
      <c r="L257" s="41">
        <f t="shared" si="8"/>
        <v>10442346.049999999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480000</v>
      </c>
      <c r="L260" s="19">
        <f>SUM(F260:K260)</f>
        <v>480000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165714</v>
      </c>
      <c r="L261" s="19">
        <f>SUM(F261:K261)</f>
        <v>165714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160000</v>
      </c>
      <c r="L266" s="19">
        <f t="shared" si="9"/>
        <v>160000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805714</v>
      </c>
      <c r="L270" s="41">
        <f t="shared" si="9"/>
        <v>805714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3892781.1999999997</v>
      </c>
      <c r="G271" s="42">
        <f t="shared" si="11"/>
        <v>1696453.4999999995</v>
      </c>
      <c r="H271" s="42">
        <f t="shared" si="11"/>
        <v>4413005.79</v>
      </c>
      <c r="I271" s="42">
        <f t="shared" si="11"/>
        <v>364271.52999999997</v>
      </c>
      <c r="J271" s="42">
        <f t="shared" si="11"/>
        <v>61191.030000000006</v>
      </c>
      <c r="K271" s="42">
        <f t="shared" si="11"/>
        <v>820357</v>
      </c>
      <c r="L271" s="42">
        <f t="shared" si="11"/>
        <v>11248060.049999999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126448.53</v>
      </c>
      <c r="G276" s="18">
        <v>27799.03</v>
      </c>
      <c r="H276" s="18"/>
      <c r="I276" s="18">
        <v>28085.040000000001</v>
      </c>
      <c r="J276" s="18">
        <v>40140.379999999997</v>
      </c>
      <c r="K276" s="18">
        <v>1874.68</v>
      </c>
      <c r="L276" s="19">
        <f>SUM(F276:K276)</f>
        <v>224347.66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26544.34</v>
      </c>
      <c r="G277" s="18"/>
      <c r="H277" s="18"/>
      <c r="I277" s="18"/>
      <c r="J277" s="18"/>
      <c r="K277" s="18"/>
      <c r="L277" s="19">
        <f>SUM(F277:K277)</f>
        <v>26544.34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74990.789999999994</v>
      </c>
      <c r="G281" s="18">
        <v>10473.51</v>
      </c>
      <c r="H281" s="18">
        <v>25632.83</v>
      </c>
      <c r="I281" s="18">
        <v>-1312.47</v>
      </c>
      <c r="J281" s="18"/>
      <c r="K281" s="18"/>
      <c r="L281" s="19">
        <f t="shared" ref="L281:L287" si="12">SUM(F281:K281)</f>
        <v>109784.65999999999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9539.7000000000007</v>
      </c>
      <c r="I282" s="18">
        <v>150</v>
      </c>
      <c r="J282" s="18"/>
      <c r="K282" s="18"/>
      <c r="L282" s="19">
        <f t="shared" si="12"/>
        <v>9689.7000000000007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30041.77</v>
      </c>
      <c r="G283" s="18">
        <v>10247.219999999999</v>
      </c>
      <c r="H283" s="18">
        <v>481.84</v>
      </c>
      <c r="I283" s="18"/>
      <c r="J283" s="18"/>
      <c r="K283" s="18"/>
      <c r="L283" s="19">
        <f t="shared" si="12"/>
        <v>40770.829999999994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1002</v>
      </c>
      <c r="G284" s="18"/>
      <c r="H284" s="18"/>
      <c r="I284" s="18"/>
      <c r="J284" s="18"/>
      <c r="K284" s="18"/>
      <c r="L284" s="19">
        <f t="shared" si="12"/>
        <v>1002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906.44</v>
      </c>
      <c r="I287" s="18"/>
      <c r="J287" s="18"/>
      <c r="K287" s="18"/>
      <c r="L287" s="19">
        <f t="shared" si="12"/>
        <v>906.44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259027.42999999996</v>
      </c>
      <c r="G290" s="42">
        <f t="shared" si="13"/>
        <v>48519.76</v>
      </c>
      <c r="H290" s="42">
        <f t="shared" si="13"/>
        <v>36560.81</v>
      </c>
      <c r="I290" s="42">
        <f t="shared" si="13"/>
        <v>26922.57</v>
      </c>
      <c r="J290" s="42">
        <f t="shared" si="13"/>
        <v>40140.379999999997</v>
      </c>
      <c r="K290" s="42">
        <f t="shared" si="13"/>
        <v>1874.68</v>
      </c>
      <c r="L290" s="41">
        <f t="shared" si="13"/>
        <v>413045.63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259027.42999999996</v>
      </c>
      <c r="G338" s="41">
        <f t="shared" si="20"/>
        <v>48519.76</v>
      </c>
      <c r="H338" s="41">
        <f t="shared" si="20"/>
        <v>36560.81</v>
      </c>
      <c r="I338" s="41">
        <f t="shared" si="20"/>
        <v>26922.57</v>
      </c>
      <c r="J338" s="41">
        <f t="shared" si="20"/>
        <v>40140.379999999997</v>
      </c>
      <c r="K338" s="41">
        <f t="shared" si="20"/>
        <v>1874.68</v>
      </c>
      <c r="L338" s="41">
        <f t="shared" si="20"/>
        <v>413045.63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259027.42999999996</v>
      </c>
      <c r="G352" s="41">
        <f>G338</f>
        <v>48519.76</v>
      </c>
      <c r="H352" s="41">
        <f>H338</f>
        <v>36560.81</v>
      </c>
      <c r="I352" s="41">
        <f>I338</f>
        <v>26922.57</v>
      </c>
      <c r="J352" s="41">
        <f>J338</f>
        <v>40140.379999999997</v>
      </c>
      <c r="K352" s="47">
        <f>K338+K351</f>
        <v>1874.68</v>
      </c>
      <c r="L352" s="41">
        <f>L338+L351</f>
        <v>413045.63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77365.09</v>
      </c>
      <c r="G358" s="18">
        <v>9745.24</v>
      </c>
      <c r="H358" s="18">
        <v>2045.48</v>
      </c>
      <c r="I358" s="18">
        <v>127289.59</v>
      </c>
      <c r="J358" s="18">
        <v>896.68</v>
      </c>
      <c r="K358" s="18">
        <v>500</v>
      </c>
      <c r="L358" s="13">
        <f>SUM(F358:K358)</f>
        <v>217842.08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77365.09</v>
      </c>
      <c r="G362" s="47">
        <f t="shared" si="22"/>
        <v>9745.24</v>
      </c>
      <c r="H362" s="47">
        <f t="shared" si="22"/>
        <v>2045.48</v>
      </c>
      <c r="I362" s="47">
        <f t="shared" si="22"/>
        <v>127289.59</v>
      </c>
      <c r="J362" s="47">
        <f t="shared" si="22"/>
        <v>896.68</v>
      </c>
      <c r="K362" s="47">
        <f t="shared" si="22"/>
        <v>500</v>
      </c>
      <c r="L362" s="47">
        <f t="shared" si="22"/>
        <v>217842.08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117874.17</v>
      </c>
      <c r="G367" s="18"/>
      <c r="H367" s="18"/>
      <c r="I367" s="56">
        <f>SUM(F367:H367)</f>
        <v>117874.17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9415.42</v>
      </c>
      <c r="G368" s="63"/>
      <c r="H368" s="63"/>
      <c r="I368" s="56">
        <f>SUM(F368:H368)</f>
        <v>9415.42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127289.59</v>
      </c>
      <c r="G369" s="47">
        <f>SUM(G367:G368)</f>
        <v>0</v>
      </c>
      <c r="H369" s="47">
        <f>SUM(H367:H368)</f>
        <v>0</v>
      </c>
      <c r="I369" s="47">
        <f>SUM(I367:I368)</f>
        <v>127289.59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18.63</v>
      </c>
      <c r="I388" s="18"/>
      <c r="J388" s="24" t="s">
        <v>289</v>
      </c>
      <c r="K388" s="24" t="s">
        <v>289</v>
      </c>
      <c r="L388" s="56">
        <f t="shared" si="25"/>
        <v>18.63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18.63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18.63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160000</v>
      </c>
      <c r="H396" s="18">
        <v>23.35</v>
      </c>
      <c r="I396" s="18"/>
      <c r="J396" s="24" t="s">
        <v>289</v>
      </c>
      <c r="K396" s="24" t="s">
        <v>289</v>
      </c>
      <c r="L396" s="56">
        <f t="shared" si="26"/>
        <v>160023.35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436.45</v>
      </c>
      <c r="I397" s="18"/>
      <c r="J397" s="24" t="s">
        <v>289</v>
      </c>
      <c r="K397" s="24" t="s">
        <v>289</v>
      </c>
      <c r="L397" s="56">
        <f t="shared" si="26"/>
        <v>436.45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3.7</v>
      </c>
      <c r="I400" s="18"/>
      <c r="J400" s="24" t="s">
        <v>289</v>
      </c>
      <c r="K400" s="24" t="s">
        <v>289</v>
      </c>
      <c r="L400" s="56">
        <f t="shared" si="26"/>
        <v>3.7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160000</v>
      </c>
      <c r="H401" s="47">
        <f>SUM(H395:H400)</f>
        <v>463.5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160463.50000000003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160000</v>
      </c>
      <c r="H408" s="47">
        <f>H393+H401+H407</f>
        <v>482.13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160482.13000000003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128535</v>
      </c>
      <c r="L422" s="56">
        <f t="shared" si="29"/>
        <v>128535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560.85</v>
      </c>
      <c r="L423" s="56">
        <f t="shared" si="29"/>
        <v>560.85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129095.85</v>
      </c>
      <c r="L427" s="47">
        <f t="shared" si="30"/>
        <v>129095.85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129095.85</v>
      </c>
      <c r="L434" s="47">
        <f t="shared" si="32"/>
        <v>129095.85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624592.87</v>
      </c>
      <c r="G439" s="18"/>
      <c r="H439" s="18"/>
      <c r="I439" s="56">
        <f t="shared" ref="I439:I445" si="33">SUM(F439:H439)</f>
        <v>624592.87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624592.87</v>
      </c>
      <c r="G446" s="13">
        <f>SUM(G439:G445)</f>
        <v>0</v>
      </c>
      <c r="H446" s="13">
        <f>SUM(H439:H445)</f>
        <v>0</v>
      </c>
      <c r="I446" s="13">
        <f>SUM(I439:I445)</f>
        <v>624592.87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624592.87</v>
      </c>
      <c r="G459" s="18"/>
      <c r="H459" s="18"/>
      <c r="I459" s="56">
        <f t="shared" si="34"/>
        <v>624592.87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624592.87</v>
      </c>
      <c r="G460" s="83">
        <f>SUM(G454:G459)</f>
        <v>0</v>
      </c>
      <c r="H460" s="83">
        <f>SUM(H454:H459)</f>
        <v>0</v>
      </c>
      <c r="I460" s="83">
        <f>SUM(I454:I459)</f>
        <v>624592.87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624592.87</v>
      </c>
      <c r="G461" s="42">
        <f>G452+G460</f>
        <v>0</v>
      </c>
      <c r="H461" s="42">
        <f>H452+H460</f>
        <v>0</v>
      </c>
      <c r="I461" s="42">
        <f>I452+I460</f>
        <v>624592.87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90770.81</v>
      </c>
      <c r="G465" s="18">
        <v>5005.26</v>
      </c>
      <c r="H465" s="18"/>
      <c r="I465" s="18"/>
      <c r="J465" s="18">
        <v>593206.59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11471351.41</v>
      </c>
      <c r="G468" s="18">
        <v>192596.04</v>
      </c>
      <c r="H468" s="18">
        <v>413045.63</v>
      </c>
      <c r="I468" s="18"/>
      <c r="J468" s="18">
        <v>160482.13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11471351.41</v>
      </c>
      <c r="G470" s="53">
        <f>SUM(G468:G469)</f>
        <v>192596.04</v>
      </c>
      <c r="H470" s="53">
        <f>SUM(H468:H469)</f>
        <v>413045.63</v>
      </c>
      <c r="I470" s="53">
        <f>SUM(I468:I469)</f>
        <v>0</v>
      </c>
      <c r="J470" s="53">
        <f>SUM(J468:J469)</f>
        <v>160482.13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11248060.050000001</v>
      </c>
      <c r="G472" s="18">
        <v>217842.08</v>
      </c>
      <c r="H472" s="18">
        <v>413045.63</v>
      </c>
      <c r="I472" s="18"/>
      <c r="J472" s="18">
        <v>129095.85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11248060.050000001</v>
      </c>
      <c r="G474" s="53">
        <f>SUM(G472:G473)</f>
        <v>217842.08</v>
      </c>
      <c r="H474" s="53">
        <f>SUM(H472:H473)</f>
        <v>413045.63</v>
      </c>
      <c r="I474" s="53">
        <f>SUM(I472:I473)</f>
        <v>0</v>
      </c>
      <c r="J474" s="53">
        <f>SUM(J472:J473)</f>
        <v>129095.85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314062.16999999993</v>
      </c>
      <c r="G476" s="53">
        <f>(G465+G470)- G474</f>
        <v>-20240.77999999997</v>
      </c>
      <c r="H476" s="53">
        <f>(H465+H470)- H474</f>
        <v>0</v>
      </c>
      <c r="I476" s="53">
        <f>(I465+I470)- I474</f>
        <v>0</v>
      </c>
      <c r="J476" s="53">
        <f>(J465+J470)- J474</f>
        <v>624592.87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9633125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3840000</v>
      </c>
      <c r="G495" s="18"/>
      <c r="H495" s="18"/>
      <c r="I495" s="18"/>
      <c r="J495" s="18"/>
      <c r="K495" s="53">
        <f>SUM(F495:J495)</f>
        <v>3840000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480000</v>
      </c>
      <c r="G497" s="18"/>
      <c r="H497" s="18"/>
      <c r="I497" s="18"/>
      <c r="J497" s="18"/>
      <c r="K497" s="53">
        <f t="shared" si="35"/>
        <v>480000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3360000</v>
      </c>
      <c r="G498" s="204"/>
      <c r="H498" s="204"/>
      <c r="I498" s="204"/>
      <c r="J498" s="204"/>
      <c r="K498" s="205">
        <f t="shared" si="35"/>
        <v>3360000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768051</v>
      </c>
      <c r="G499" s="18"/>
      <c r="H499" s="18"/>
      <c r="I499" s="18"/>
      <c r="J499" s="18"/>
      <c r="K499" s="53">
        <f t="shared" si="35"/>
        <v>768051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4128051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4128051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480000</v>
      </c>
      <c r="G501" s="204"/>
      <c r="H501" s="204"/>
      <c r="I501" s="204"/>
      <c r="J501" s="204"/>
      <c r="K501" s="205">
        <f t="shared" si="35"/>
        <v>480000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160800</v>
      </c>
      <c r="G502" s="18"/>
      <c r="H502" s="18"/>
      <c r="I502" s="18"/>
      <c r="J502" s="18"/>
      <c r="K502" s="53">
        <f t="shared" si="35"/>
        <v>160800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640800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640800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956513.29</v>
      </c>
      <c r="G521" s="18">
        <v>367346.05</v>
      </c>
      <c r="H521" s="18">
        <v>179625.92</v>
      </c>
      <c r="I521" s="18">
        <v>5090.6899999999996</v>
      </c>
      <c r="J521" s="18">
        <v>2022</v>
      </c>
      <c r="K521" s="18">
        <v>1142.05</v>
      </c>
      <c r="L521" s="88">
        <f>SUM(F521:K521)</f>
        <v>1511740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58938.71</v>
      </c>
      <c r="G523" s="18">
        <v>48740.09</v>
      </c>
      <c r="H523" s="18">
        <v>27624.3</v>
      </c>
      <c r="I523" s="18"/>
      <c r="J523" s="18"/>
      <c r="K523" s="18"/>
      <c r="L523" s="88">
        <f>SUM(F523:K523)</f>
        <v>135303.09999999998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1015452</v>
      </c>
      <c r="G524" s="108">
        <f t="shared" ref="G524:L524" si="36">SUM(G521:G523)</f>
        <v>416086.14</v>
      </c>
      <c r="H524" s="108">
        <f t="shared" si="36"/>
        <v>207250.22</v>
      </c>
      <c r="I524" s="108">
        <f t="shared" si="36"/>
        <v>5090.6899999999996</v>
      </c>
      <c r="J524" s="108">
        <f t="shared" si="36"/>
        <v>2022</v>
      </c>
      <c r="K524" s="108">
        <f t="shared" si="36"/>
        <v>1142.05</v>
      </c>
      <c r="L524" s="89">
        <f t="shared" si="36"/>
        <v>1647043.1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316557.59999999998</v>
      </c>
      <c r="G526" s="18">
        <v>125515.72</v>
      </c>
      <c r="H526" s="18">
        <v>59476.44</v>
      </c>
      <c r="I526" s="18">
        <v>2553.9899999999998</v>
      </c>
      <c r="J526" s="18"/>
      <c r="K526" s="18"/>
      <c r="L526" s="88">
        <f>SUM(F526:K526)</f>
        <v>504103.74999999994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316557.59999999998</v>
      </c>
      <c r="G529" s="89">
        <f t="shared" ref="G529:L529" si="37">SUM(G526:G528)</f>
        <v>125515.72</v>
      </c>
      <c r="H529" s="89">
        <f t="shared" si="37"/>
        <v>59476.44</v>
      </c>
      <c r="I529" s="89">
        <f t="shared" si="37"/>
        <v>2553.9899999999998</v>
      </c>
      <c r="J529" s="89">
        <f t="shared" si="37"/>
        <v>0</v>
      </c>
      <c r="K529" s="89">
        <f t="shared" si="37"/>
        <v>0</v>
      </c>
      <c r="L529" s="89">
        <f t="shared" si="37"/>
        <v>504103.74999999994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31725.91</v>
      </c>
      <c r="G531" s="18">
        <v>15856.55</v>
      </c>
      <c r="H531" s="18"/>
      <c r="I531" s="18"/>
      <c r="J531" s="18"/>
      <c r="K531" s="18"/>
      <c r="L531" s="88">
        <f>SUM(F531:K531)</f>
        <v>47582.46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31725.91</v>
      </c>
      <c r="G534" s="89">
        <f t="shared" ref="G534:L534" si="38">SUM(G531:G533)</f>
        <v>15856.55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47582.46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90139.9</v>
      </c>
      <c r="I541" s="18"/>
      <c r="J541" s="18"/>
      <c r="K541" s="18"/>
      <c r="L541" s="88">
        <f>SUM(F541:K541)</f>
        <v>90139.9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17046.71</v>
      </c>
      <c r="I543" s="18"/>
      <c r="J543" s="18"/>
      <c r="K543" s="18"/>
      <c r="L543" s="88">
        <f>SUM(F543:K543)</f>
        <v>17046.71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107186.60999999999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107186.60999999999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1363735.51</v>
      </c>
      <c r="G545" s="89">
        <f t="shared" ref="G545:L545" si="41">G524+G529+G534+G539+G544</f>
        <v>557458.41</v>
      </c>
      <c r="H545" s="89">
        <f t="shared" si="41"/>
        <v>373913.27</v>
      </c>
      <c r="I545" s="89">
        <f t="shared" si="41"/>
        <v>7644.6799999999994</v>
      </c>
      <c r="J545" s="89">
        <f t="shared" si="41"/>
        <v>2022</v>
      </c>
      <c r="K545" s="89">
        <f t="shared" si="41"/>
        <v>1142.05</v>
      </c>
      <c r="L545" s="89">
        <f t="shared" si="41"/>
        <v>2305915.92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1511740</v>
      </c>
      <c r="G549" s="87">
        <f>L526</f>
        <v>504103.74999999994</v>
      </c>
      <c r="H549" s="87">
        <f>L531</f>
        <v>47582.46</v>
      </c>
      <c r="I549" s="87">
        <f>L536</f>
        <v>0</v>
      </c>
      <c r="J549" s="87">
        <f>L541</f>
        <v>90139.9</v>
      </c>
      <c r="K549" s="87">
        <f>SUM(F549:J549)</f>
        <v>2153566.11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135303.09999999998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17046.71</v>
      </c>
      <c r="K551" s="87">
        <f>SUM(F551:J551)</f>
        <v>152349.80999999997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1647043.1</v>
      </c>
      <c r="G552" s="89">
        <f t="shared" si="42"/>
        <v>504103.74999999994</v>
      </c>
      <c r="H552" s="89">
        <f t="shared" si="42"/>
        <v>47582.46</v>
      </c>
      <c r="I552" s="89">
        <f t="shared" si="42"/>
        <v>0</v>
      </c>
      <c r="J552" s="89">
        <f t="shared" si="42"/>
        <v>107186.60999999999</v>
      </c>
      <c r="K552" s="89">
        <f t="shared" si="42"/>
        <v>2305915.92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3000</v>
      </c>
      <c r="G567" s="18">
        <v>706.38</v>
      </c>
      <c r="H567" s="18">
        <v>400</v>
      </c>
      <c r="I567" s="18">
        <v>1500</v>
      </c>
      <c r="J567" s="18"/>
      <c r="K567" s="18"/>
      <c r="L567" s="88">
        <f>SUM(F567:K567)</f>
        <v>5606.38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3000</v>
      </c>
      <c r="G570" s="193">
        <f t="shared" ref="G570:L570" si="45">SUM(G567:G569)</f>
        <v>706.38</v>
      </c>
      <c r="H570" s="193">
        <f t="shared" si="45"/>
        <v>400</v>
      </c>
      <c r="I570" s="193">
        <f t="shared" si="45"/>
        <v>1500</v>
      </c>
      <c r="J570" s="193">
        <f t="shared" si="45"/>
        <v>0</v>
      </c>
      <c r="K570" s="193">
        <f t="shared" si="45"/>
        <v>0</v>
      </c>
      <c r="L570" s="193">
        <f t="shared" si="45"/>
        <v>5606.38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3000</v>
      </c>
      <c r="G571" s="89">
        <f t="shared" ref="G571:L571" si="46">G560+G565+G570</f>
        <v>706.38</v>
      </c>
      <c r="H571" s="89">
        <f t="shared" si="46"/>
        <v>400</v>
      </c>
      <c r="I571" s="89">
        <f t="shared" si="46"/>
        <v>1500</v>
      </c>
      <c r="J571" s="89">
        <f t="shared" si="46"/>
        <v>0</v>
      </c>
      <c r="K571" s="89">
        <f t="shared" si="46"/>
        <v>0</v>
      </c>
      <c r="L571" s="89">
        <f t="shared" si="46"/>
        <v>5606.38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3282072.3</v>
      </c>
      <c r="I577" s="87">
        <f t="shared" si="47"/>
        <v>3282072.3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71336.09</v>
      </c>
      <c r="G579" s="18"/>
      <c r="H579" s="18">
        <v>13055.8</v>
      </c>
      <c r="I579" s="87">
        <f t="shared" si="47"/>
        <v>84391.89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41424.230000000003</v>
      </c>
      <c r="G582" s="18"/>
      <c r="H582" s="18"/>
      <c r="I582" s="87">
        <f t="shared" si="47"/>
        <v>41424.230000000003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237477.14</v>
      </c>
      <c r="I591" s="18"/>
      <c r="J591" s="18">
        <v>138310</v>
      </c>
      <c r="K591" s="104">
        <f t="shared" ref="K591:K597" si="48">SUM(H591:J591)</f>
        <v>375787.14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90139.9</v>
      </c>
      <c r="I592" s="18"/>
      <c r="J592" s="18">
        <v>17046.71</v>
      </c>
      <c r="K592" s="104">
        <f t="shared" si="48"/>
        <v>107186.60999999999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6300.84</v>
      </c>
      <c r="I594" s="18"/>
      <c r="J594" s="18"/>
      <c r="K594" s="104">
        <f t="shared" si="48"/>
        <v>6300.84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3252</v>
      </c>
      <c r="I595" s="18"/>
      <c r="J595" s="18"/>
      <c r="K595" s="104">
        <f t="shared" si="48"/>
        <v>3252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6896.17</v>
      </c>
      <c r="I597" s="18"/>
      <c r="J597" s="18"/>
      <c r="K597" s="104">
        <f t="shared" si="48"/>
        <v>6896.17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344066.05000000005</v>
      </c>
      <c r="I598" s="108">
        <f>SUM(I591:I597)</f>
        <v>0</v>
      </c>
      <c r="J598" s="108">
        <f>SUM(J591:J597)</f>
        <v>155356.71</v>
      </c>
      <c r="K598" s="108">
        <f>SUM(K591:K597)</f>
        <v>499422.76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101331.41</v>
      </c>
      <c r="I604" s="18"/>
      <c r="J604" s="18"/>
      <c r="K604" s="104">
        <f>SUM(H604:J604)</f>
        <v>101331.41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101331.41</v>
      </c>
      <c r="I605" s="108">
        <f>SUM(I602:I604)</f>
        <v>0</v>
      </c>
      <c r="J605" s="108">
        <f>SUM(J602:J604)</f>
        <v>0</v>
      </c>
      <c r="K605" s="108">
        <f>SUM(K602:K604)</f>
        <v>101331.41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682969.99</v>
      </c>
      <c r="H617" s="109">
        <f>SUM(F52)</f>
        <v>682969.99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82014.02</v>
      </c>
      <c r="H618" s="109">
        <f>SUM(G52)</f>
        <v>82014.02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255932.57</v>
      </c>
      <c r="H619" s="109">
        <f>SUM(H52)</f>
        <v>255932.57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624592.87</v>
      </c>
      <c r="H621" s="109">
        <f>SUM(J52)</f>
        <v>624592.87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314062.17</v>
      </c>
      <c r="H622" s="109">
        <f>F476</f>
        <v>314062.16999999993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-20240.78</v>
      </c>
      <c r="H623" s="109">
        <f>G476</f>
        <v>-20240.77999999997</v>
      </c>
      <c r="I623" s="121" t="s">
        <v>102</v>
      </c>
      <c r="J623" s="109">
        <f t="shared" si="50"/>
        <v>-2.9103830456733704E-11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624592.87</v>
      </c>
      <c r="H626" s="109">
        <f>J476</f>
        <v>624592.87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11471351.41</v>
      </c>
      <c r="H627" s="104">
        <f>SUM(F468)</f>
        <v>11471351.41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192596.04</v>
      </c>
      <c r="H628" s="104">
        <f>SUM(G468)</f>
        <v>192596.04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413045.63000000006</v>
      </c>
      <c r="H629" s="104">
        <f>SUM(H468)</f>
        <v>413045.63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160482.13</v>
      </c>
      <c r="H631" s="104">
        <f>SUM(J468)</f>
        <v>160482.13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11248060.049999999</v>
      </c>
      <c r="H632" s="104">
        <f>SUM(F472)</f>
        <v>11248060.050000001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413045.63</v>
      </c>
      <c r="H633" s="104">
        <f>SUM(H472)</f>
        <v>413045.63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127289.59</v>
      </c>
      <c r="H634" s="104">
        <f>I369</f>
        <v>127289.59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217842.08</v>
      </c>
      <c r="H635" s="104">
        <f>SUM(G472)</f>
        <v>217842.08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160482.13000000003</v>
      </c>
      <c r="H637" s="164">
        <f>SUM(J468)</f>
        <v>160482.13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129095.85</v>
      </c>
      <c r="H638" s="164">
        <f>SUM(J472)</f>
        <v>129095.85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624592.87</v>
      </c>
      <c r="H639" s="104">
        <f>SUM(F461)</f>
        <v>624592.87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624592.87</v>
      </c>
      <c r="H642" s="104">
        <f>SUM(I461)</f>
        <v>624592.87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482.13</v>
      </c>
      <c r="H644" s="104">
        <f>H408</f>
        <v>482.13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160000</v>
      </c>
      <c r="H645" s="104">
        <f>G408</f>
        <v>160000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160482.13</v>
      </c>
      <c r="H646" s="104">
        <f>L408</f>
        <v>160482.13000000003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499422.76</v>
      </c>
      <c r="H647" s="104">
        <f>L208+L226+L244</f>
        <v>499422.76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101331.41</v>
      </c>
      <c r="H648" s="104">
        <f>(J257+J338)-(J255+J336)</f>
        <v>101331.41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344066.05</v>
      </c>
      <c r="H649" s="104">
        <f>H598</f>
        <v>344066.05000000005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155356.71</v>
      </c>
      <c r="H651" s="104">
        <f>J598</f>
        <v>155356.71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160000</v>
      </c>
      <c r="H655" s="104">
        <f>K266+K347</f>
        <v>160000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7500501.6499999994</v>
      </c>
      <c r="G660" s="19">
        <f>(L229+L309+L359)</f>
        <v>0</v>
      </c>
      <c r="H660" s="19">
        <f>(L247+L328+L360)</f>
        <v>3572732.11</v>
      </c>
      <c r="I660" s="19">
        <f>SUM(F660:H660)</f>
        <v>11073233.76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81418.55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81418.55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344972.49</v>
      </c>
      <c r="G662" s="19">
        <f>(L226+L306)-(J226+J306)</f>
        <v>0</v>
      </c>
      <c r="H662" s="19">
        <f>(L244+L325)-(J244+J325)</f>
        <v>155356.71</v>
      </c>
      <c r="I662" s="19">
        <f>SUM(F662:H662)</f>
        <v>500329.19999999995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214091.73</v>
      </c>
      <c r="G663" s="199">
        <f>SUM(G575:G587)+SUM(I602:I604)+L612</f>
        <v>0</v>
      </c>
      <c r="H663" s="199">
        <f>SUM(H575:H587)+SUM(J602:J604)+L613</f>
        <v>3295128.0999999996</v>
      </c>
      <c r="I663" s="19">
        <f>SUM(F663:H663)</f>
        <v>3509219.8299999996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6860018.879999999</v>
      </c>
      <c r="G664" s="19">
        <f>G660-SUM(G661:G663)</f>
        <v>0</v>
      </c>
      <c r="H664" s="19">
        <f>H660-SUM(H661:H663)</f>
        <v>122247.30000000028</v>
      </c>
      <c r="I664" s="19">
        <f>I660-SUM(I661:I663)</f>
        <v>6982266.1799999997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461.1</v>
      </c>
      <c r="G665" s="248"/>
      <c r="H665" s="248"/>
      <c r="I665" s="19">
        <f>SUM(F665:H665)</f>
        <v>461.1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14877.51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15142.63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-122247.3</v>
      </c>
      <c r="I669" s="19">
        <f>SUM(F669:H669)</f>
        <v>-122247.3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14877.51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14877.51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Barnstead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1862925.68</v>
      </c>
      <c r="C9" s="229">
        <f>'DOE25'!G197+'DOE25'!G215+'DOE25'!G233+'DOE25'!G276+'DOE25'!G295+'DOE25'!G314</f>
        <v>832200.13</v>
      </c>
    </row>
    <row r="10" spans="1:3" x14ac:dyDescent="0.2">
      <c r="A10" t="s">
        <v>779</v>
      </c>
      <c r="B10" s="240">
        <v>1748198.63</v>
      </c>
      <c r="C10" s="240">
        <v>797852.5</v>
      </c>
    </row>
    <row r="11" spans="1:3" x14ac:dyDescent="0.2">
      <c r="A11" t="s">
        <v>780</v>
      </c>
      <c r="B11" s="240">
        <v>33581.61</v>
      </c>
      <c r="C11" s="240">
        <v>28140</v>
      </c>
    </row>
    <row r="12" spans="1:3" x14ac:dyDescent="0.2">
      <c r="A12" t="s">
        <v>781</v>
      </c>
      <c r="B12" s="240">
        <v>81145.440000000002</v>
      </c>
      <c r="C12" s="240">
        <v>6207.63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1862925.68</v>
      </c>
      <c r="C13" s="231">
        <f>SUM(C10:C12)</f>
        <v>832200.13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1015451.9999999999</v>
      </c>
      <c r="C18" s="229">
        <f>'DOE25'!G198+'DOE25'!G216+'DOE25'!G234+'DOE25'!G277+'DOE25'!G296+'DOE25'!G315</f>
        <v>416086.14</v>
      </c>
    </row>
    <row r="19" spans="1:3" x14ac:dyDescent="0.2">
      <c r="A19" t="s">
        <v>779</v>
      </c>
      <c r="B19" s="240">
        <v>444011.46</v>
      </c>
      <c r="C19" s="240">
        <v>188910</v>
      </c>
    </row>
    <row r="20" spans="1:3" x14ac:dyDescent="0.2">
      <c r="A20" t="s">
        <v>780</v>
      </c>
      <c r="B20" s="240">
        <v>532988.54</v>
      </c>
      <c r="C20" s="240">
        <v>224234.56</v>
      </c>
    </row>
    <row r="21" spans="1:3" x14ac:dyDescent="0.2">
      <c r="A21" t="s">
        <v>781</v>
      </c>
      <c r="B21" s="240">
        <v>38452</v>
      </c>
      <c r="C21" s="240">
        <v>2941.58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1015452</v>
      </c>
      <c r="C22" s="231">
        <f>SUM(C19:C21)</f>
        <v>416086.14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22000</v>
      </c>
      <c r="C36" s="235">
        <f>'DOE25'!G200+'DOE25'!G218+'DOE25'!G236+'DOE25'!G279+'DOE25'!G298+'DOE25'!G317</f>
        <v>5179.17</v>
      </c>
    </row>
    <row r="37" spans="1:3" x14ac:dyDescent="0.2">
      <c r="A37" t="s">
        <v>779</v>
      </c>
      <c r="B37" s="240">
        <v>6100</v>
      </c>
      <c r="C37" s="240">
        <v>1331.41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15900</v>
      </c>
      <c r="C39" s="240">
        <v>3847.76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22000</v>
      </c>
      <c r="C40" s="231">
        <f>SUM(C37:C39)</f>
        <v>5179.17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Barnstead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7647756.040000001</v>
      </c>
      <c r="D5" s="20">
        <f>SUM('DOE25'!L197:L200)+SUM('DOE25'!L215:L218)+SUM('DOE25'!L233:L236)-F5-G5</f>
        <v>7635129.0600000005</v>
      </c>
      <c r="E5" s="243"/>
      <c r="F5" s="255">
        <f>SUM('DOE25'!J197:J200)+SUM('DOE25'!J215:J218)+SUM('DOE25'!J233:J236)</f>
        <v>10078.23</v>
      </c>
      <c r="G5" s="53">
        <f>SUM('DOE25'!K197:K200)+SUM('DOE25'!K215:K218)+SUM('DOE25'!K233:K236)</f>
        <v>2548.75</v>
      </c>
      <c r="H5" s="259"/>
    </row>
    <row r="6" spans="1:9" x14ac:dyDescent="0.2">
      <c r="A6" s="32">
        <v>2100</v>
      </c>
      <c r="B6" t="s">
        <v>801</v>
      </c>
      <c r="C6" s="245">
        <f t="shared" si="0"/>
        <v>592942.13000000012</v>
      </c>
      <c r="D6" s="20">
        <f>'DOE25'!L202+'DOE25'!L220+'DOE25'!L238-F6-G6</f>
        <v>592716.57000000007</v>
      </c>
      <c r="E6" s="243"/>
      <c r="F6" s="255">
        <f>'DOE25'!J202+'DOE25'!J220+'DOE25'!J238</f>
        <v>225.56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261732.43</v>
      </c>
      <c r="D7" s="20">
        <f>'DOE25'!L203+'DOE25'!L221+'DOE25'!L239-F7-G7</f>
        <v>209812.02999999997</v>
      </c>
      <c r="E7" s="243"/>
      <c r="F7" s="255">
        <f>'DOE25'!J203+'DOE25'!J221+'DOE25'!J239</f>
        <v>50320.08</v>
      </c>
      <c r="G7" s="53">
        <f>'DOE25'!K203+'DOE25'!K221+'DOE25'!K239</f>
        <v>1600.32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283152.89</v>
      </c>
      <c r="D8" s="243"/>
      <c r="E8" s="20">
        <f>'DOE25'!L204+'DOE25'!L222+'DOE25'!L240-F8-G8-D9-D11</f>
        <v>275037.96000000002</v>
      </c>
      <c r="F8" s="255">
        <f>'DOE25'!J204+'DOE25'!J222+'DOE25'!J240</f>
        <v>240</v>
      </c>
      <c r="G8" s="53">
        <f>'DOE25'!K204+'DOE25'!K222+'DOE25'!K240</f>
        <v>7874.93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485252.77</v>
      </c>
      <c r="D12" s="20">
        <f>'DOE25'!L205+'DOE25'!L223+'DOE25'!L241-F12-G12</f>
        <v>482633.77</v>
      </c>
      <c r="E12" s="243"/>
      <c r="F12" s="255">
        <f>'DOE25'!J205+'DOE25'!J223+'DOE25'!J241</f>
        <v>0</v>
      </c>
      <c r="G12" s="53">
        <f>'DOE25'!K205+'DOE25'!K223+'DOE25'!K241</f>
        <v>2619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672087.03</v>
      </c>
      <c r="D14" s="20">
        <f>'DOE25'!L207+'DOE25'!L225+'DOE25'!L243-F14-G14</f>
        <v>671759.87</v>
      </c>
      <c r="E14" s="243"/>
      <c r="F14" s="255">
        <f>'DOE25'!J207+'DOE25'!J225+'DOE25'!J243</f>
        <v>327.16000000000003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499422.76</v>
      </c>
      <c r="D15" s="20">
        <f>'DOE25'!L208+'DOE25'!L226+'DOE25'!L244-F15-G15</f>
        <v>499422.76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645714</v>
      </c>
      <c r="D25" s="243"/>
      <c r="E25" s="243"/>
      <c r="F25" s="258"/>
      <c r="G25" s="256"/>
      <c r="H25" s="257">
        <f>'DOE25'!L260+'DOE25'!L261+'DOE25'!L341+'DOE25'!L342</f>
        <v>645714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99967.909999999989</v>
      </c>
      <c r="D29" s="20">
        <f>'DOE25'!L358+'DOE25'!L359+'DOE25'!L360-'DOE25'!I367-F29-G29</f>
        <v>98571.23</v>
      </c>
      <c r="E29" s="243"/>
      <c r="F29" s="255">
        <f>'DOE25'!J358+'DOE25'!J359+'DOE25'!J360</f>
        <v>896.68</v>
      </c>
      <c r="G29" s="53">
        <f>'DOE25'!K358+'DOE25'!K359+'DOE25'!K360</f>
        <v>500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413045.63</v>
      </c>
      <c r="D31" s="20">
        <f>'DOE25'!L290+'DOE25'!L309+'DOE25'!L328+'DOE25'!L333+'DOE25'!L334+'DOE25'!L335-F31-G31</f>
        <v>371030.57</v>
      </c>
      <c r="E31" s="243"/>
      <c r="F31" s="255">
        <f>'DOE25'!J290+'DOE25'!J309+'DOE25'!J328+'DOE25'!J333+'DOE25'!J334+'DOE25'!J335</f>
        <v>40140.379999999997</v>
      </c>
      <c r="G31" s="53">
        <f>'DOE25'!K290+'DOE25'!K309+'DOE25'!K328+'DOE25'!K333+'DOE25'!K334+'DOE25'!K335</f>
        <v>1874.68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10561075.859999999</v>
      </c>
      <c r="E33" s="246">
        <f>SUM(E5:E31)</f>
        <v>275037.96000000002</v>
      </c>
      <c r="F33" s="246">
        <f>SUM(F5:F31)</f>
        <v>102228.09</v>
      </c>
      <c r="G33" s="246">
        <f>SUM(G5:G31)</f>
        <v>17017.68</v>
      </c>
      <c r="H33" s="246">
        <f>SUM(H5:H31)</f>
        <v>645714</v>
      </c>
    </row>
    <row r="35" spans="2:8" ht="12" thickBot="1" x14ac:dyDescent="0.25">
      <c r="B35" s="253" t="s">
        <v>847</v>
      </c>
      <c r="D35" s="254">
        <f>E33</f>
        <v>275037.96000000002</v>
      </c>
      <c r="E35" s="249"/>
    </row>
    <row r="36" spans="2:8" ht="12" thickTop="1" x14ac:dyDescent="0.2">
      <c r="B36" t="s">
        <v>815</v>
      </c>
      <c r="D36" s="20">
        <f>D33</f>
        <v>10561075.859999999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Barnstead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386113.13</v>
      </c>
      <c r="D8" s="95">
        <f>'DOE25'!G9</f>
        <v>81870.02</v>
      </c>
      <c r="E8" s="95">
        <f>'DOE25'!H9</f>
        <v>0</v>
      </c>
      <c r="F8" s="95">
        <f>'DOE25'!I9</f>
        <v>0</v>
      </c>
      <c r="G8" s="95">
        <f>'DOE25'!J9</f>
        <v>624592.87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144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296856.86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255932.57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682969.99</v>
      </c>
      <c r="D18" s="41">
        <f>SUM(D8:D17)</f>
        <v>82014.02</v>
      </c>
      <c r="E18" s="41">
        <f>SUM(E8:E17)</f>
        <v>255932.57</v>
      </c>
      <c r="F18" s="41">
        <f>SUM(F8:F17)</f>
        <v>0</v>
      </c>
      <c r="G18" s="41">
        <f>SUM(G8:G17)</f>
        <v>624592.87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82718.94</v>
      </c>
      <c r="E21" s="95">
        <f>'DOE25'!H22</f>
        <v>214137.92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45674.559999999998</v>
      </c>
      <c r="D23" s="95">
        <f>'DOE25'!G24</f>
        <v>12865.07</v>
      </c>
      <c r="E23" s="95">
        <f>'DOE25'!H24</f>
        <v>17450.88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6670.79</v>
      </c>
      <c r="E24" s="95">
        <f>'DOE25'!H25</f>
        <v>24343.77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323233.26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368907.82</v>
      </c>
      <c r="D31" s="41">
        <f>SUM(D21:D30)</f>
        <v>102254.8</v>
      </c>
      <c r="E31" s="41">
        <f>SUM(E21:E30)</f>
        <v>255932.57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-20240.78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163196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624592.87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150866.16999999998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314062.17</v>
      </c>
      <c r="D50" s="41">
        <f>SUM(D34:D49)</f>
        <v>-20240.78</v>
      </c>
      <c r="E50" s="41">
        <f>SUM(E34:E49)</f>
        <v>0</v>
      </c>
      <c r="F50" s="41">
        <f>SUM(F34:F49)</f>
        <v>0</v>
      </c>
      <c r="G50" s="41">
        <f>SUM(G34:G49)</f>
        <v>624592.87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682969.99</v>
      </c>
      <c r="D51" s="41">
        <f>D50+D31</f>
        <v>82014.02</v>
      </c>
      <c r="E51" s="41">
        <f>E50+E31</f>
        <v>255932.57</v>
      </c>
      <c r="F51" s="41">
        <f>F50+F31</f>
        <v>0</v>
      </c>
      <c r="G51" s="41">
        <f>G50+G31</f>
        <v>624592.87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7060775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32891.33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87.64</v>
      </c>
      <c r="D59" s="95">
        <f>'DOE25'!G96</f>
        <v>6.44</v>
      </c>
      <c r="E59" s="95">
        <f>'DOE25'!H96</f>
        <v>0</v>
      </c>
      <c r="F59" s="95">
        <f>'DOE25'!I96</f>
        <v>0</v>
      </c>
      <c r="G59" s="95">
        <f>'DOE25'!J96</f>
        <v>482.13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81418.55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383.05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33362.020000000004</v>
      </c>
      <c r="D62" s="130">
        <f>SUM(D57:D61)</f>
        <v>81424.990000000005</v>
      </c>
      <c r="E62" s="130">
        <f>SUM(E57:E61)</f>
        <v>0</v>
      </c>
      <c r="F62" s="130">
        <f>SUM(F57:F61)</f>
        <v>0</v>
      </c>
      <c r="G62" s="130">
        <f>SUM(G57:G61)</f>
        <v>482.13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7094137.0199999996</v>
      </c>
      <c r="D63" s="22">
        <f>D56+D62</f>
        <v>81424.990000000005</v>
      </c>
      <c r="E63" s="22">
        <f>E56+E62</f>
        <v>0</v>
      </c>
      <c r="F63" s="22">
        <f>F56+F62</f>
        <v>0</v>
      </c>
      <c r="G63" s="22">
        <f>G56+G62</f>
        <v>482.13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2843091.64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1067080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3910171.64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194882.82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8082.25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194882.82</v>
      </c>
      <c r="D78" s="130">
        <f>SUM(D72:D77)</f>
        <v>8082.25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4105054.46</v>
      </c>
      <c r="D81" s="130">
        <f>SUM(D79:D80)+D78+D70</f>
        <v>8082.25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37876.58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143624.93</v>
      </c>
      <c r="D88" s="95">
        <f>SUM('DOE25'!G153:G161)</f>
        <v>103088.8</v>
      </c>
      <c r="E88" s="95">
        <f>SUM('DOE25'!H153:H161)</f>
        <v>375169.05000000005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143624.93</v>
      </c>
      <c r="D91" s="131">
        <f>SUM(D85:D90)</f>
        <v>103088.8</v>
      </c>
      <c r="E91" s="131">
        <f>SUM(E85:E90)</f>
        <v>413045.63000000006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128535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128535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160000</v>
      </c>
    </row>
    <row r="104" spans="1:7" ht="12.75" thickTop="1" thickBot="1" x14ac:dyDescent="0.25">
      <c r="A104" s="33" t="s">
        <v>765</v>
      </c>
      <c r="C104" s="86">
        <f>C63+C81+C91+C103</f>
        <v>11471351.41</v>
      </c>
      <c r="D104" s="86">
        <f>D63+D81+D91+D103</f>
        <v>192596.04</v>
      </c>
      <c r="E104" s="86">
        <f>E63+E81+E91+E103</f>
        <v>413045.63000000006</v>
      </c>
      <c r="F104" s="86">
        <f>F63+F81+F91+F103</f>
        <v>0</v>
      </c>
      <c r="G104" s="86">
        <f>G63+G81+G103</f>
        <v>160482.13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5973078.2800000003</v>
      </c>
      <c r="D109" s="24" t="s">
        <v>289</v>
      </c>
      <c r="E109" s="95">
        <f>('DOE25'!L276)+('DOE25'!L295)+('DOE25'!L314)</f>
        <v>224347.66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1620498.7599999998</v>
      </c>
      <c r="D110" s="24" t="s">
        <v>289</v>
      </c>
      <c r="E110" s="95">
        <f>('DOE25'!L277)+('DOE25'!L296)+('DOE25'!L315)</f>
        <v>26544.34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54179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7647756.04</v>
      </c>
      <c r="D115" s="86">
        <f>SUM(D109:D114)</f>
        <v>0</v>
      </c>
      <c r="E115" s="86">
        <f>SUM(E109:E114)</f>
        <v>250892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592942.13000000012</v>
      </c>
      <c r="D118" s="24" t="s">
        <v>289</v>
      </c>
      <c r="E118" s="95">
        <f>+('DOE25'!L281)+('DOE25'!L300)+('DOE25'!L319)</f>
        <v>109784.65999999999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261732.43</v>
      </c>
      <c r="D119" s="24" t="s">
        <v>289</v>
      </c>
      <c r="E119" s="95">
        <f>+('DOE25'!L282)+('DOE25'!L301)+('DOE25'!L320)</f>
        <v>9689.7000000000007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283152.89</v>
      </c>
      <c r="D120" s="24" t="s">
        <v>289</v>
      </c>
      <c r="E120" s="95">
        <f>+('DOE25'!L283)+('DOE25'!L302)+('DOE25'!L321)</f>
        <v>40770.829999999994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485252.77</v>
      </c>
      <c r="D121" s="24" t="s">
        <v>289</v>
      </c>
      <c r="E121" s="95">
        <f>+('DOE25'!L284)+('DOE25'!L303)+('DOE25'!L322)</f>
        <v>1002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672087.03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499422.76</v>
      </c>
      <c r="D124" s="24" t="s">
        <v>289</v>
      </c>
      <c r="E124" s="95">
        <f>+('DOE25'!L287)+('DOE25'!L306)+('DOE25'!L325)</f>
        <v>906.44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217842.08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2794590.01</v>
      </c>
      <c r="D128" s="86">
        <f>SUM(D118:D127)</f>
        <v>217842.08</v>
      </c>
      <c r="E128" s="86">
        <f>SUM(E118:E127)</f>
        <v>162153.62999999998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165714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129095.85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18.63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160463.50000000003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-482.13000000003376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805714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129095.85</v>
      </c>
    </row>
    <row r="145" spans="1:9" ht="12.75" thickTop="1" thickBot="1" x14ac:dyDescent="0.25">
      <c r="A145" s="33" t="s">
        <v>244</v>
      </c>
      <c r="C145" s="86">
        <f>(C115+C128+C144)</f>
        <v>11248060.050000001</v>
      </c>
      <c r="D145" s="86">
        <f>(D115+D128+D144)</f>
        <v>217842.08</v>
      </c>
      <c r="E145" s="86">
        <f>(E115+E128+E144)</f>
        <v>413045.63</v>
      </c>
      <c r="F145" s="86">
        <f>(F115+F128+F144)</f>
        <v>0</v>
      </c>
      <c r="G145" s="86">
        <f>(G115+G128+G144)</f>
        <v>129095.85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9/02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9633125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3840000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3840000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480000</v>
      </c>
    </row>
    <row r="159" spans="1:9" x14ac:dyDescent="0.2">
      <c r="A159" s="22" t="s">
        <v>35</v>
      </c>
      <c r="B159" s="137">
        <f>'DOE25'!F498</f>
        <v>3360000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3360000</v>
      </c>
    </row>
    <row r="160" spans="1:9" x14ac:dyDescent="0.2">
      <c r="A160" s="22" t="s">
        <v>36</v>
      </c>
      <c r="B160" s="137">
        <f>'DOE25'!F499</f>
        <v>768051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768051</v>
      </c>
    </row>
    <row r="161" spans="1:7" x14ac:dyDescent="0.2">
      <c r="A161" s="22" t="s">
        <v>37</v>
      </c>
      <c r="B161" s="137">
        <f>'DOE25'!F500</f>
        <v>4128051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4128051</v>
      </c>
    </row>
    <row r="162" spans="1:7" x14ac:dyDescent="0.2">
      <c r="A162" s="22" t="s">
        <v>38</v>
      </c>
      <c r="B162" s="137">
        <f>'DOE25'!F501</f>
        <v>480000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480000</v>
      </c>
    </row>
    <row r="163" spans="1:7" x14ac:dyDescent="0.2">
      <c r="A163" s="22" t="s">
        <v>39</v>
      </c>
      <c r="B163" s="137">
        <f>'DOE25'!F502</f>
        <v>160800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160800</v>
      </c>
    </row>
    <row r="164" spans="1:7" x14ac:dyDescent="0.2">
      <c r="A164" s="22" t="s">
        <v>246</v>
      </c>
      <c r="B164" s="137">
        <f>'DOE25'!F503</f>
        <v>640800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640800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Barnstead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14878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14878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6197426</v>
      </c>
      <c r="D10" s="182">
        <f>ROUND((C10/$C$28)*100,1)</f>
        <v>55.5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1647043</v>
      </c>
      <c r="D11" s="182">
        <f>ROUND((C11/$C$28)*100,1)</f>
        <v>14.8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54179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702727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271422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323924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486255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672087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500329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165714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136423.45000000001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11157529.449999999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11157529.449999999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480000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7060775</v>
      </c>
      <c r="D35" s="182">
        <f t="shared" ref="D35:D40" si="1">ROUND((C35/$C$41)*100,1)</f>
        <v>59.5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33850.590000000782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3910172</v>
      </c>
      <c r="D37" s="182">
        <f t="shared" si="1"/>
        <v>32.9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202965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659759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11867521.59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Barnstead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2015-12-21T16:35:12Z</cp:lastPrinted>
  <dcterms:created xsi:type="dcterms:W3CDTF">1997-12-04T19:04:30Z</dcterms:created>
  <dcterms:modified xsi:type="dcterms:W3CDTF">2015-12-21T16:35:18Z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