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0" windowWidth="29535" windowHeight="15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4" i="1" l="1"/>
  <c r="D11" i="13" l="1"/>
  <c r="D9" i="13"/>
  <c r="C20" i="12"/>
  <c r="C19" i="12"/>
  <c r="B19" i="12"/>
  <c r="B21" i="12"/>
  <c r="B20" i="12"/>
  <c r="C10" i="12"/>
  <c r="C11" i="12"/>
  <c r="B12" i="12"/>
  <c r="B11" i="12"/>
  <c r="B10" i="12"/>
  <c r="H579" i="1"/>
  <c r="H575" i="1"/>
  <c r="H541" i="1"/>
  <c r="H538" i="1"/>
  <c r="H537" i="1"/>
  <c r="H536" i="1"/>
  <c r="H526" i="1"/>
  <c r="G526" i="1"/>
  <c r="F526" i="1"/>
  <c r="H523" i="1"/>
  <c r="J522" i="1"/>
  <c r="I522" i="1"/>
  <c r="H522" i="1"/>
  <c r="G522" i="1"/>
  <c r="F522" i="1"/>
  <c r="J521" i="1"/>
  <c r="I521" i="1"/>
  <c r="H521" i="1"/>
  <c r="G521" i="1"/>
  <c r="F521" i="1"/>
  <c r="F498" i="1"/>
  <c r="F197" i="1"/>
  <c r="I604" i="1"/>
  <c r="H604" i="1"/>
  <c r="H226" i="1"/>
  <c r="H208" i="1"/>
  <c r="I595" i="1"/>
  <c r="H595" i="1"/>
  <c r="I594" i="1"/>
  <c r="J592" i="1"/>
  <c r="I592" i="1"/>
  <c r="H592" i="1"/>
  <c r="J591" i="1"/>
  <c r="I591" i="1"/>
  <c r="H591" i="1"/>
  <c r="I225" i="1"/>
  <c r="H225" i="1"/>
  <c r="G225" i="1"/>
  <c r="F225" i="1"/>
  <c r="J225" i="1"/>
  <c r="J207" i="1"/>
  <c r="H207" i="1"/>
  <c r="I207" i="1"/>
  <c r="G207" i="1"/>
  <c r="F207" i="1"/>
  <c r="F223" i="1"/>
  <c r="K223" i="1"/>
  <c r="J223" i="1"/>
  <c r="I223" i="1"/>
  <c r="H223" i="1"/>
  <c r="G223" i="1"/>
  <c r="J205" i="1"/>
  <c r="I205" i="1"/>
  <c r="H205" i="1"/>
  <c r="G205" i="1"/>
  <c r="F205" i="1"/>
  <c r="K221" i="1"/>
  <c r="J221" i="1"/>
  <c r="I221" i="1"/>
  <c r="H221" i="1"/>
  <c r="G221" i="1"/>
  <c r="F221" i="1"/>
  <c r="K203" i="1"/>
  <c r="J203" i="1"/>
  <c r="I203" i="1"/>
  <c r="H203" i="1"/>
  <c r="G203" i="1"/>
  <c r="F203" i="1"/>
  <c r="K220" i="1"/>
  <c r="G220" i="1"/>
  <c r="F220" i="1"/>
  <c r="G202" i="1"/>
  <c r="F202" i="1"/>
  <c r="I202" i="1"/>
  <c r="H202" i="1"/>
  <c r="I220" i="1"/>
  <c r="J220" i="1"/>
  <c r="H220" i="1"/>
  <c r="J202" i="1"/>
  <c r="F198" i="1"/>
  <c r="F216" i="1"/>
  <c r="F215" i="1"/>
  <c r="G216" i="1"/>
  <c r="H216" i="1"/>
  <c r="I216" i="1"/>
  <c r="J216" i="1"/>
  <c r="J198" i="1"/>
  <c r="I198" i="1"/>
  <c r="H198" i="1"/>
  <c r="G198" i="1"/>
  <c r="K215" i="1"/>
  <c r="J215" i="1"/>
  <c r="I215" i="1"/>
  <c r="H215" i="1"/>
  <c r="G215" i="1"/>
  <c r="I197" i="1"/>
  <c r="H197" i="1"/>
  <c r="G197" i="1"/>
  <c r="I276" i="1"/>
  <c r="H276" i="1"/>
  <c r="F276" i="1"/>
  <c r="G276" i="1"/>
  <c r="K344" i="1"/>
  <c r="J277" i="1"/>
  <c r="I277" i="1"/>
  <c r="H277" i="1"/>
  <c r="G277" i="1"/>
  <c r="F277" i="1"/>
  <c r="K276" i="1"/>
  <c r="I282" i="1"/>
  <c r="H282" i="1"/>
  <c r="F282" i="1"/>
  <c r="H155" i="1"/>
  <c r="H154" i="1"/>
  <c r="I218" i="1"/>
  <c r="H218" i="1"/>
  <c r="G218" i="1"/>
  <c r="F218" i="1"/>
  <c r="I242" i="1"/>
  <c r="H242" i="1"/>
  <c r="G242" i="1"/>
  <c r="F242" i="1"/>
  <c r="I206" i="1"/>
  <c r="H206" i="1"/>
  <c r="G206" i="1"/>
  <c r="F206" i="1"/>
  <c r="I224" i="1"/>
  <c r="H224" i="1"/>
  <c r="G224" i="1"/>
  <c r="F224" i="1"/>
  <c r="K204" i="1"/>
  <c r="J204" i="1"/>
  <c r="I204" i="1"/>
  <c r="H204" i="1"/>
  <c r="G204" i="1"/>
  <c r="F204" i="1"/>
  <c r="K222" i="1"/>
  <c r="J222" i="1"/>
  <c r="I222" i="1"/>
  <c r="H222" i="1"/>
  <c r="G222" i="1"/>
  <c r="F222" i="1"/>
  <c r="G240" i="1"/>
  <c r="K240" i="1"/>
  <c r="J240" i="1"/>
  <c r="I240" i="1"/>
  <c r="H240" i="1"/>
  <c r="F240" i="1"/>
  <c r="H234" i="1"/>
  <c r="H233" i="1"/>
  <c r="K359" i="1"/>
  <c r="K358" i="1"/>
  <c r="H358" i="1"/>
  <c r="H359" i="1"/>
  <c r="G97" i="1"/>
  <c r="F14" i="1"/>
  <c r="J468" i="1"/>
  <c r="G389" i="1"/>
  <c r="H389" i="1"/>
  <c r="F110" i="1"/>
  <c r="C45" i="2"/>
  <c r="G51" i="1"/>
  <c r="F51" i="1"/>
  <c r="G622" i="1" s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C50" i="2" s="1"/>
  <c r="C51" i="2" s="1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/>
  <c r="L611" i="1"/>
  <c r="F663" i="1"/>
  <c r="C40" i="10"/>
  <c r="F60" i="1"/>
  <c r="G60" i="1"/>
  <c r="H60" i="1"/>
  <c r="I60" i="1"/>
  <c r="F79" i="1"/>
  <c r="F94" i="1"/>
  <c r="F111" i="1"/>
  <c r="G111" i="1"/>
  <c r="G112" i="1"/>
  <c r="H79" i="1"/>
  <c r="H94" i="1"/>
  <c r="H111" i="1"/>
  <c r="I111" i="1"/>
  <c r="I112" i="1"/>
  <c r="J111" i="1"/>
  <c r="J112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2" i="1" s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/>
  <c r="L522" i="1"/>
  <c r="F550" i="1"/>
  <c r="L523" i="1"/>
  <c r="F551" i="1"/>
  <c r="L526" i="1"/>
  <c r="G549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L537" i="1"/>
  <c r="I550" i="1"/>
  <c r="L538" i="1"/>
  <c r="I551" i="1"/>
  <c r="L541" i="1"/>
  <c r="J549" i="1"/>
  <c r="L542" i="1"/>
  <c r="J550" i="1"/>
  <c r="L543" i="1"/>
  <c r="J551" i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/>
  <c r="C63" i="2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G81" i="2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/>
  <c r="F128" i="2"/>
  <c r="G128" i="2"/>
  <c r="C130" i="2"/>
  <c r="E130" i="2"/>
  <c r="F130" i="2"/>
  <c r="F144" i="2" s="1"/>
  <c r="F145" i="2" s="1"/>
  <c r="D134" i="2"/>
  <c r="D144" i="2"/>
  <c r="D145" i="2"/>
  <c r="E13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19" i="1"/>
  <c r="H19" i="1"/>
  <c r="I19" i="1"/>
  <c r="F32" i="1"/>
  <c r="F52" i="1"/>
  <c r="H617" i="1" s="1"/>
  <c r="J617" i="1" s="1"/>
  <c r="G32" i="1"/>
  <c r="H32" i="1"/>
  <c r="I32" i="1"/>
  <c r="G52" i="1"/>
  <c r="H618" i="1"/>
  <c r="H51" i="1"/>
  <c r="H52" i="1"/>
  <c r="H619" i="1"/>
  <c r="I51" i="1"/>
  <c r="I52" i="1"/>
  <c r="H620" i="1"/>
  <c r="F177" i="1"/>
  <c r="I177" i="1"/>
  <c r="F183" i="1"/>
  <c r="G183" i="1"/>
  <c r="H183" i="1"/>
  <c r="I183" i="1"/>
  <c r="J183" i="1"/>
  <c r="J192" i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/>
  <c r="J352" i="1"/>
  <c r="K337" i="1"/>
  <c r="K338" i="1"/>
  <c r="K352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/>
  <c r="G636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L545" i="1" s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/>
  <c r="G650" i="1"/>
  <c r="G651" i="1"/>
  <c r="G652" i="1"/>
  <c r="H652" i="1"/>
  <c r="G653" i="1"/>
  <c r="H653" i="1"/>
  <c r="G654" i="1"/>
  <c r="H654" i="1"/>
  <c r="H655" i="1"/>
  <c r="F192" i="1"/>
  <c r="L256" i="1"/>
  <c r="L257" i="1"/>
  <c r="L271" i="1"/>
  <c r="G632" i="1"/>
  <c r="K257" i="1"/>
  <c r="K271" i="1"/>
  <c r="I257" i="1"/>
  <c r="I271" i="1"/>
  <c r="G257" i="1"/>
  <c r="G271" i="1"/>
  <c r="G164" i="2"/>
  <c r="C18" i="2"/>
  <c r="C26" i="10"/>
  <c r="L328" i="1"/>
  <c r="H660" i="1"/>
  <c r="H664" i="1"/>
  <c r="L351" i="1"/>
  <c r="I662" i="1"/>
  <c r="L290" i="1"/>
  <c r="F660" i="1"/>
  <c r="A31" i="12"/>
  <c r="C70" i="2"/>
  <c r="A40" i="12"/>
  <c r="D12" i="13"/>
  <c r="C12" i="13"/>
  <c r="D62" i="2"/>
  <c r="D63" i="2"/>
  <c r="D18" i="13"/>
  <c r="C18" i="13"/>
  <c r="D15" i="13"/>
  <c r="C15" i="13"/>
  <c r="D7" i="13"/>
  <c r="C7" i="13"/>
  <c r="D18" i="2"/>
  <c r="D17" i="13"/>
  <c r="C17" i="13"/>
  <c r="D6" i="13"/>
  <c r="C6" i="13"/>
  <c r="E8" i="13"/>
  <c r="C8" i="13"/>
  <c r="C91" i="2"/>
  <c r="F78" i="2"/>
  <c r="F81" i="2"/>
  <c r="D31" i="2"/>
  <c r="C128" i="2"/>
  <c r="C78" i="2"/>
  <c r="C81" i="2"/>
  <c r="D50" i="2"/>
  <c r="G157" i="2"/>
  <c r="F18" i="2"/>
  <c r="G161" i="2"/>
  <c r="G156" i="2"/>
  <c r="E115" i="2"/>
  <c r="E103" i="2"/>
  <c r="D91" i="2"/>
  <c r="E62" i="2"/>
  <c r="E63" i="2"/>
  <c r="E31" i="2"/>
  <c r="G62" i="2"/>
  <c r="D29" i="13"/>
  <c r="C29" i="13"/>
  <c r="D19" i="13"/>
  <c r="C19" i="13"/>
  <c r="D14" i="13"/>
  <c r="C14" i="13"/>
  <c r="E13" i="13"/>
  <c r="C13" i="13"/>
  <c r="E78" i="2"/>
  <c r="E81" i="2"/>
  <c r="L427" i="1"/>
  <c r="J257" i="1"/>
  <c r="J271" i="1"/>
  <c r="H112" i="1"/>
  <c r="F112" i="1"/>
  <c r="J641" i="1"/>
  <c r="J639" i="1"/>
  <c r="K605" i="1"/>
  <c r="G648" i="1"/>
  <c r="J571" i="1"/>
  <c r="K571" i="1"/>
  <c r="L433" i="1"/>
  <c r="L419" i="1"/>
  <c r="D81" i="2"/>
  <c r="I169" i="1"/>
  <c r="H169" i="1"/>
  <c r="G552" i="1"/>
  <c r="J644" i="1"/>
  <c r="J643" i="1"/>
  <c r="J476" i="1"/>
  <c r="H626" i="1"/>
  <c r="H476" i="1"/>
  <c r="H624" i="1"/>
  <c r="J624" i="1"/>
  <c r="F476" i="1"/>
  <c r="H622" i="1"/>
  <c r="I476" i="1"/>
  <c r="H625" i="1"/>
  <c r="J625" i="1"/>
  <c r="G476" i="1"/>
  <c r="H623" i="1"/>
  <c r="J623" i="1"/>
  <c r="G338" i="1"/>
  <c r="G352" i="1"/>
  <c r="F169" i="1"/>
  <c r="J140" i="1"/>
  <c r="F571" i="1"/>
  <c r="H257" i="1"/>
  <c r="H271" i="1"/>
  <c r="F664" i="1"/>
  <c r="F672" i="1"/>
  <c r="C4" i="10"/>
  <c r="I552" i="1"/>
  <c r="K549" i="1"/>
  <c r="K550" i="1"/>
  <c r="G22" i="2"/>
  <c r="K598" i="1"/>
  <c r="G647" i="1"/>
  <c r="J647" i="1"/>
  <c r="K545" i="1"/>
  <c r="J552" i="1"/>
  <c r="H552" i="1"/>
  <c r="C29" i="10"/>
  <c r="I661" i="1"/>
  <c r="H140" i="1"/>
  <c r="L401" i="1"/>
  <c r="C139" i="2"/>
  <c r="L393" i="1"/>
  <c r="A13" i="12"/>
  <c r="F22" i="13"/>
  <c r="H25" i="13"/>
  <c r="C25" i="13"/>
  <c r="J651" i="1"/>
  <c r="J640" i="1"/>
  <c r="J634" i="1"/>
  <c r="H571" i="1"/>
  <c r="L560" i="1"/>
  <c r="J545" i="1"/>
  <c r="H338" i="1"/>
  <c r="H352" i="1"/>
  <c r="F338" i="1"/>
  <c r="F352" i="1"/>
  <c r="G192" i="1"/>
  <c r="H192" i="1"/>
  <c r="E128" i="2"/>
  <c r="F552" i="1"/>
  <c r="C35" i="10"/>
  <c r="L309" i="1"/>
  <c r="D5" i="13"/>
  <c r="C5" i="13"/>
  <c r="E16" i="13"/>
  <c r="E33" i="13"/>
  <c r="D35" i="13"/>
  <c r="J655" i="1"/>
  <c r="J645" i="1"/>
  <c r="L570" i="1"/>
  <c r="I571" i="1"/>
  <c r="I545" i="1"/>
  <c r="J636" i="1"/>
  <c r="G36" i="2"/>
  <c r="L565" i="1"/>
  <c r="G545" i="1"/>
  <c r="H545" i="1"/>
  <c r="K551" i="1"/>
  <c r="K552" i="1" s="1"/>
  <c r="C22" i="13"/>
  <c r="C138" i="2"/>
  <c r="C16" i="13"/>
  <c r="H33" i="13"/>
  <c r="F667" i="1"/>
  <c r="L337" i="1"/>
  <c r="F62" i="2"/>
  <c r="F63" i="2"/>
  <c r="C23" i="10"/>
  <c r="G163" i="2"/>
  <c r="G162" i="2"/>
  <c r="G160" i="2"/>
  <c r="G159" i="2"/>
  <c r="G158" i="2"/>
  <c r="G103" i="2"/>
  <c r="F103" i="2"/>
  <c r="C103" i="2"/>
  <c r="F91" i="2"/>
  <c r="E50" i="2"/>
  <c r="E51" i="2"/>
  <c r="F31" i="2"/>
  <c r="C31" i="2"/>
  <c r="E18" i="2"/>
  <c r="E144" i="2"/>
  <c r="F50" i="2"/>
  <c r="F51" i="2"/>
  <c r="E145" i="2"/>
  <c r="L338" i="1"/>
  <c r="L352" i="1"/>
  <c r="G633" i="1"/>
  <c r="J633" i="1"/>
  <c r="C24" i="10"/>
  <c r="G660" i="1"/>
  <c r="G664" i="1"/>
  <c r="G31" i="13"/>
  <c r="G33" i="13"/>
  <c r="I338" i="1"/>
  <c r="I352" i="1"/>
  <c r="J650" i="1"/>
  <c r="L407" i="1"/>
  <c r="C140" i="2"/>
  <c r="C141" i="2"/>
  <c r="C144" i="2"/>
  <c r="C145" i="2"/>
  <c r="L571" i="1"/>
  <c r="J632" i="1"/>
  <c r="I192" i="1"/>
  <c r="E91" i="2"/>
  <c r="L408" i="1"/>
  <c r="G637" i="1"/>
  <c r="J637" i="1"/>
  <c r="D51" i="2"/>
  <c r="J654" i="1"/>
  <c r="J653" i="1"/>
  <c r="G21" i="2"/>
  <c r="G31" i="2"/>
  <c r="J32" i="1"/>
  <c r="L434" i="1"/>
  <c r="G638" i="1"/>
  <c r="J638" i="1"/>
  <c r="J434" i="1"/>
  <c r="F434" i="1"/>
  <c r="K434" i="1"/>
  <c r="G134" i="2"/>
  <c r="G144" i="2"/>
  <c r="G145" i="2"/>
  <c r="H667" i="1"/>
  <c r="H672" i="1"/>
  <c r="C6" i="10"/>
  <c r="F31" i="13"/>
  <c r="I660" i="1"/>
  <c r="J193" i="1"/>
  <c r="G646" i="1"/>
  <c r="F104" i="2"/>
  <c r="H193" i="1"/>
  <c r="G629" i="1"/>
  <c r="J629" i="1"/>
  <c r="G169" i="1"/>
  <c r="C39" i="10"/>
  <c r="G140" i="1"/>
  <c r="F140" i="1"/>
  <c r="F193" i="1"/>
  <c r="G627" i="1"/>
  <c r="J627" i="1"/>
  <c r="C36" i="10"/>
  <c r="G63" i="2"/>
  <c r="G104" i="2"/>
  <c r="J618" i="1"/>
  <c r="G667" i="1"/>
  <c r="G672" i="1"/>
  <c r="C5" i="10"/>
  <c r="G42" i="2"/>
  <c r="J51" i="1"/>
  <c r="G16" i="2"/>
  <c r="J19" i="1"/>
  <c r="G621" i="1"/>
  <c r="F33" i="13"/>
  <c r="D31" i="13"/>
  <c r="C31" i="13"/>
  <c r="G18" i="2"/>
  <c r="F545" i="1"/>
  <c r="H434" i="1"/>
  <c r="J620" i="1"/>
  <c r="J619" i="1"/>
  <c r="D103" i="2"/>
  <c r="D104" i="2"/>
  <c r="I140" i="1"/>
  <c r="I193" i="1"/>
  <c r="G630" i="1"/>
  <c r="J630" i="1"/>
  <c r="A22" i="12"/>
  <c r="H646" i="1"/>
  <c r="G50" i="2"/>
  <c r="G51" i="2"/>
  <c r="H648" i="1"/>
  <c r="J648" i="1"/>
  <c r="C104" i="2"/>
  <c r="J652" i="1"/>
  <c r="J642" i="1"/>
  <c r="G571" i="1"/>
  <c r="I434" i="1"/>
  <c r="G434" i="1"/>
  <c r="E104" i="2"/>
  <c r="I663" i="1"/>
  <c r="C27" i="10"/>
  <c r="C28" i="10"/>
  <c r="G635" i="1"/>
  <c r="J635" i="1"/>
  <c r="G631" i="1"/>
  <c r="J631" i="1"/>
  <c r="I664" i="1"/>
  <c r="D33" i="13"/>
  <c r="D36" i="13"/>
  <c r="J646" i="1"/>
  <c r="G193" i="1"/>
  <c r="G628" i="1"/>
  <c r="J628" i="1"/>
  <c r="G626" i="1"/>
  <c r="J626" i="1"/>
  <c r="J52" i="1"/>
  <c r="H621" i="1"/>
  <c r="J621" i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D28" i="10"/>
  <c r="C41" i="10"/>
  <c r="D38" i="10"/>
  <c r="D37" i="10"/>
  <c r="D36" i="10"/>
  <c r="D35" i="10"/>
  <c r="D40" i="10"/>
  <c r="D39" i="10"/>
  <c r="D41" i="10"/>
  <c r="J622" i="1" l="1"/>
  <c r="H656" i="1"/>
  <c r="C7" i="10"/>
  <c r="I667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<sst xmlns="http://schemas.openxmlformats.org/spreadsheetml/2006/main" count="3961" uniqueCount="914">
  <si>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</si>
  <si>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</si>
  <si>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</si>
  <si>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</si>
  <si>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</si>
  <si>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</si>
  <si>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</si>
  <si>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</si>
  <si>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</si>
  <si>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</si>
  <si>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</si>
  <si>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</si>
  <si>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</si>
  <si>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</si>
  <si>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</si>
  <si>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</si>
  <si>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</si>
  <si>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</si>
  <si>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</si>
  <si>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</si>
  <si>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</si>
  <si>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</si>
  <si>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</si>
  <si>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</si>
  <si>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</si>
  <si>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</si>
  <si>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</si>
  <si>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</si>
  <si>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</si>
  <si>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</si>
  <si>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</si>
  <si>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</si>
  <si>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</si>
  <si>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</si>
  <si>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</si>
  <si>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</si>
  <si>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</si>
  <si>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</si>
  <si>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</si>
  <si>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</si>
  <si>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</si>
  <si>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</si>
  <si>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</si>
  <si>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</si>
  <si>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</si>
  <si>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</si>
  <si>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</si>
  <si>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</si>
  <si>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</si>
  <si>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</si>
  <si>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</si>
  <si>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</si>
  <si>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</si>
  <si>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</si>
  <si>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</si>
  <si>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</si>
  <si>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</si>
  <si>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</si>
  <si>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</si>
  <si>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</si>
  <si>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</si>
  <si>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</si>
  <si>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</si>
  <si>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</si>
  <si>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</si>
  <si>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</si>
  <si>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</si>
  <si>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</si>
  <si>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</si>
  <si>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</si>
  <si>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</si>
  <si>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</si>
  <si>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</si>
  <si>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</si>
  <si>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</si>
  <si>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</si>
  <si>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</si>
  <si>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</si>
  <si>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</si>
  <si>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</si>
  <si>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</si>
  <si>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</si>
  <si>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</si>
  <si>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</si>
  <si>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</si>
  <si>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</si>
  <si>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</si>
  <si>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</si>
  <si>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</si>
  <si>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</si>
  <si>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</si>
  <si>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</si>
  <si>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</si>
  <si>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</si>
  <si>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</si>
  <si>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</si>
  <si>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</si>
  <si>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</si>
  <si>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</si>
  <si>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</si>
  <si>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</si>
  <si>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</si>
  <si>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</si>
  <si>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</si>
  <si>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</si>
  <si>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</si>
  <si>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</si>
  <si>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</si>
  <si>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</si>
  <si>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</si>
  <si>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</si>
  <si>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</si>
  <si>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</si>
  <si>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</si>
  <si>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</si>
  <si>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</si>
  <si>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</si>
  <si>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</si>
  <si>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</si>
  <si>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</si>
  <si>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</si>
  <si>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</si>
  <si>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</si>
  <si>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</si>
  <si>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</si>
  <si>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</si>
  <si>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</si>
  <si>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</si>
  <si>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</si>
  <si>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</si>
  <si>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</si>
  <si>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</si>
  <si>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</si>
  <si>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</si>
  <si>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</si>
  <si>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</si>
  <si>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</si>
  <si>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</si>
  <si>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</si>
  <si>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</si>
  <si>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</si>
  <si>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</si>
  <si>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</si>
  <si>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</si>
  <si>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</si>
  <si>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</si>
  <si>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</si>
  <si>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</si>
  <si>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</si>
  <si>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</si>
  <si>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</si>
  <si>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</si>
  <si>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</si>
  <si>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</si>
  <si>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</si>
  <si>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</si>
  <si>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</si>
  <si>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</si>
  <si>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</si>
  <si>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</si>
  <si>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</si>
  <si>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</si>
  <si>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</si>
  <si>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</si>
  <si>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</si>
  <si>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</si>
  <si>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</si>
  <si>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</si>
  <si>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</si>
  <si>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</si>
  <si>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</si>
  <si>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</si>
  <si>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</si>
  <si>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</si>
  <si>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</si>
  <si>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</si>
  <si>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</si>
  <si>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</si>
  <si>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</si>
  <si>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</si>
  <si>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</si>
  <si>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</si>
  <si>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</si>
  <si>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</si>
  <si>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</si>
  <si>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</si>
  <si>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</si>
  <si>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</si>
  <si>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</si>
  <si>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</si>
  <si>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</si>
  <si>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</si>
  <si>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</si>
  <si>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</si>
  <si>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</si>
  <si>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</si>
  <si>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</si>
  <si>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</si>
  <si>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</si>
  <si>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</si>
  <si>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</si>
  <si>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</si>
  <si>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</si>
  <si>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</si>
  <si>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</si>
  <si>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</si>
  <si>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</si>
  <si>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</si>
  <si>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</si>
  <si>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</si>
  <si>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</si>
  <si>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</si>
  <si>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</si>
  <si>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</si>
  <si>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</si>
  <si>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</si>
  <si>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</si>
  <si>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</si>
  <si>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</si>
  <si>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</si>
  <si>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</si>
  <si>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</si>
  <si>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</si>
  <si>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</si>
  <si>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</si>
  <si>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</si>
  <si>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</si>
  <si>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</si>
  <si>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</si>
  <si>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</si>
  <si>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</si>
  <si>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</si>
  <si>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</si>
  <si>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</si>
  <si>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</si>
  <si>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</si>
  <si>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</si>
  <si>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</si>
  <si>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</si>
  <si>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</si>
  <si>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</si>
  <si>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</si>
  <si>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</si>
  <si>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</si>
  <si>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</si>
  <si>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</si>
  <si>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</si>
  <si>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</si>
  <si>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</si>
  <si>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</si>
  <si>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</si>
  <si>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</si>
  <si>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</si>
  <si>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</si>
  <si>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</si>
  <si>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</si>
  <si>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</si>
  <si>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</si>
  <si>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</si>
  <si>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</si>
  <si>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</si>
  <si>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</si>
  <si>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</si>
  <si>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</si>
  <si>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</si>
  <si>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</si>
  <si>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</si>
  <si>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</si>
  <si>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</si>
  <si>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</si>
  <si>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</si>
  <si>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</si>
  <si>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</si>
  <si>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</si>
  <si>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</si>
  <si>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</si>
  <si>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</si>
  <si>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</si>
  <si>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</si>
  <si>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</si>
  <si>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</si>
  <si>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</si>
  <si>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</si>
  <si>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</si>
  <si>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</si>
  <si>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</si>
  <si>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</si>
  <si>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</si>
  <si>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</si>
  <si>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</si>
  <si>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</si>
  <si>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</si>
  <si>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</si>
  <si>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</si>
  <si>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</si>
  <si>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</si>
  <si>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</si>
  <si>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</si>
  <si>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</si>
  <si>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</si>
  <si>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</si>
  <si>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</si>
  <si>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</si>
  <si>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</si>
  <si>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</si>
  <si>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</si>
  <si>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</si>
  <si>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</si>
  <si>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</si>
  <si>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</si>
  <si>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</si>
  <si>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</si>
  <si>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</si>
  <si>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</si>
  <si>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</si>
  <si>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</si>
  <si>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</si>
  <si>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</si>
  <si>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</si>
  <si>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</si>
  <si>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</si>
  <si>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</si>
  <si>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</si>
  <si>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</si>
  <si>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</si>
  <si>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</si>
  <si>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</si>
  <si>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</si>
  <si>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</si>
  <si>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</si>
  <si>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</si>
  <si>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</si>
  <si>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</si>
  <si>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</si>
  <si>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</si>
  <si>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</si>
  <si>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</si>
  <si>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</si>
  <si>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</si>
  <si>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</si>
  <si>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</si>
  <si>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</si>
  <si>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</si>
  <si>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</si>
  <si>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</si>
  <si>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</si>
  <si>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</si>
  <si>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</si>
  <si>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</si>
  <si>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</si>
  <si>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</si>
  <si>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</si>
  <si>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</si>
  <si>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</si>
  <si>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</si>
  <si>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</si>
  <si>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</si>
  <si>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</si>
  <si>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</si>
  <si>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</si>
  <si>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</si>
  <si>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</si>
  <si>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</si>
  <si>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</si>
  <si>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</si>
  <si>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</si>
  <si>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</si>
  <si>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</si>
  <si>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</si>
  <si>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</si>
  <si>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</si>
  <si>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</si>
  <si>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</si>
  <si>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</si>
  <si>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</si>
  <si>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</si>
  <si>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</si>
  <si>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</si>
  <si>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</si>
  <si>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</si>
  <si>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</si>
  <si>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</si>
  <si>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</si>
  <si>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</si>
  <si>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</si>
  <si>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</si>
  <si>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</si>
  <si>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</si>
  <si>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</si>
  <si>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</si>
  <si>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</si>
  <si>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</si>
  <si>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</si>
  <si>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</si>
  <si>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</si>
  <si>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</si>
  <si>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</si>
  <si>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</si>
  <si>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</si>
  <si>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</si>
  <si>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</si>
  <si>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</si>
  <si>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</si>
  <si>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</si>
  <si>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</si>
  <si>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</si>
  <si>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</si>
  <si>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</si>
  <si>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</si>
  <si>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</si>
  <si>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</si>
  <si>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</si>
  <si>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</si>
  <si>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</si>
  <si>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</si>
  <si>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</si>
  <si>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</si>
  <si>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</si>
  <si>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</si>
  <si>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</si>
  <si>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</si>
  <si>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</si>
  <si>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</si>
  <si>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</si>
  <si>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</si>
  <si>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</si>
  <si>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</si>
  <si>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</si>
  <si>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</si>
  <si>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</si>
  <si>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</si>
  <si>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</si>
  <si>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</si>
  <si>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</si>
  <si>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</si>
  <si>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</si>
  <si>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</si>
  <si>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</si>
  <si>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</si>
  <si>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</si>
  <si>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</si>
  <si>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</si>
  <si>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</si>
  <si>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</si>
  <si>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</si>
  <si>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</si>
  <si>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</si>
  <si>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</si>
  <si>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</si>
  <si>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</si>
  <si>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</si>
  <si>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</si>
  <si>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</si>
  <si>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</si>
  <si>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</si>
  <si>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</si>
  <si>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</si>
  <si>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</si>
  <si>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</si>
  <si>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</si>
  <si>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</si>
  <si>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</si>
  <si>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</si>
  <si>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</si>
  <si>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</si>
  <si>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</si>
  <si>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</si>
  <si>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</si>
  <si>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</si>
  <si>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</si>
  <si>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</si>
  <si>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</si>
  <si>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</si>
  <si>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</si>
  <si>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</si>
  <si>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</si>
  <si>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</si>
  <si>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</si>
  <si>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</si>
  <si>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</si>
  <si>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</si>
  <si>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</si>
  <si>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</si>
  <si>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</si>
  <si>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</si>
  <si>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</si>
  <si>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</si>
  <si>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</si>
  <si>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</si>
  <si>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</si>
  <si>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</si>
  <si>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</si>
  <si>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</si>
  <si>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</si>
  <si>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</si>
  <si>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</si>
  <si>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</si>
  <si>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</si>
  <si>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</si>
  <si>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</si>
  <si>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</si>
  <si>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</si>
  <si>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</si>
  <si>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</si>
  <si>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</si>
  <si>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</si>
  <si>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</si>
  <si>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</si>
  <si>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</si>
  <si>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</si>
  <si>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</si>
  <si>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</si>
  <si>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</si>
  <si>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</si>
  <si>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</si>
  <si>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</si>
  <si>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</si>
  <si>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</si>
  <si>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</si>
  <si>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</si>
  <si>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</si>
  <si>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</si>
  <si>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</si>
  <si>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</si>
  <si>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</si>
  <si>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</si>
  <si>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</si>
  <si>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</si>
  <si>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</si>
  <si>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</si>
  <si>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</si>
  <si>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</si>
  <si>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</si>
  <si>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</si>
  <si>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</si>
  <si>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</si>
  <si>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</si>
  <si>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</si>
  <si>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</si>
  <si>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</si>
  <si>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</si>
  <si>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</si>
  <si>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</si>
  <si>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</si>
  <si>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</si>
  <si>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</si>
  <si>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</si>
  <si>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</si>
  <si>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</si>
  <si>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</si>
  <si>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</si>
  <si>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</si>
  <si>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</si>
  <si>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</si>
  <si>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</si>
  <si>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</si>
  <si>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</si>
  <si>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</si>
  <si>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</si>
  <si>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</si>
  <si>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</si>
  <si>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</si>
  <si>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</si>
  <si>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</si>
  <si>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</si>
  <si>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</si>
  <si>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</si>
  <si>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</si>
  <si>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</si>
  <si>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</si>
  <si>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</si>
  <si>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</si>
  <si>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</si>
  <si>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</si>
  <si>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</si>
  <si>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</si>
  <si>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</si>
  <si>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</si>
  <si>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</si>
  <si>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</si>
  <si>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</si>
  <si>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</si>
  <si>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</si>
  <si>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</si>
  <si>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</si>
  <si>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</si>
  <si>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</si>
  <si>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</si>
  <si>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</si>
  <si>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</si>
  <si>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</si>
  <si>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</si>
  <si>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</si>
  <si>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</si>
  <si>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</si>
  <si>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</si>
  <si>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</si>
  <si>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</si>
  <si>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</si>
  <si>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</si>
  <si>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</si>
  <si>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</si>
  <si>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</si>
  <si>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</si>
  <si>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</si>
  <si>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</si>
  <si>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</si>
  <si>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</si>
  <si>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</si>
  <si>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</si>
  <si>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</si>
  <si>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</si>
  <si>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</si>
  <si>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</si>
  <si>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</si>
  <si>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</si>
  <si>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</si>
  <si>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</si>
  <si>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</si>
  <si>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</si>
  <si>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</si>
  <si>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</si>
  <si>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</si>
  <si>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</si>
  <si>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</si>
  <si>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</si>
  <si>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</si>
  <si>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</si>
  <si>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</si>
  <si>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</si>
  <si>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</si>
  <si>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</si>
  <si>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</si>
  <si>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</si>
  <si>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</si>
  <si>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</si>
  <si>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</si>
  <si>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</si>
  <si>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</si>
  <si>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</si>
  <si>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</si>
  <si>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</si>
  <si>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</si>
  <si>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</si>
  <si>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</si>
  <si>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</si>
  <si>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</si>
  <si>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</si>
  <si>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</si>
  <si>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</si>
  <si>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</si>
  <si>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</si>
  <si>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</si>
  <si>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</si>
  <si>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</si>
  <si>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</si>
  <si>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</si>
  <si>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</si>
  <si>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</si>
  <si>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</si>
  <si>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</si>
  <si>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</si>
  <si>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</si>
  <si>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</si>
  <si>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</si>
  <si>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</si>
  <si>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</si>
  <si>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</si>
  <si>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</si>
  <si>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</si>
  <si>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</si>
  <si>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</si>
  <si>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</si>
  <si>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</si>
  <si>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</si>
  <si>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</si>
  <si>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</si>
  <si>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</si>
  <si>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</si>
  <si>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</si>
  <si>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</si>
  <si>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</si>
  <si>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</si>
  <si>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</si>
  <si>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</si>
  <si>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</si>
  <si>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</si>
  <si>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</si>
  <si>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</si>
  <si>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</si>
  <si>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</si>
  <si>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</si>
  <si>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</si>
  <si>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</si>
  <si>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</si>
  <si>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</si>
  <si>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</si>
  <si>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</si>
  <si>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</si>
  <si>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</si>
  <si>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</si>
  <si>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</si>
  <si>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</si>
  <si>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</si>
  <si>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</si>
  <si>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</si>
  <si>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</si>
  <si>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</si>
  <si>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</si>
  <si>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</si>
  <si>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</si>
  <si>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</si>
  <si>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</si>
  <si>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</si>
  <si>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</si>
  <si>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</si>
  <si>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</si>
  <si>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</si>
  <si>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</si>
  <si>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</si>
  <si>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</si>
  <si>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</si>
  <si>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</si>
  <si>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</si>
  <si>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</si>
  <si>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</si>
  <si>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</si>
  <si>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</si>
  <si>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</si>
  <si>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</si>
  <si>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</si>
  <si>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</si>
  <si>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</si>
  <si>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</si>
  <si>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</si>
  <si>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</si>
  <si>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</si>
  <si>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</si>
  <si>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</si>
  <si>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</si>
  <si>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</si>
  <si>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</si>
  <si>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</si>
  <si>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</si>
  <si>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</si>
  <si>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</si>
  <si>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</si>
  <si>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</si>
  <si>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</si>
  <si>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</si>
  <si>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</si>
  <si>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</si>
  <si>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</si>
  <si>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</si>
  <si>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</si>
  <si>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</si>
  <si>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</si>
  <si>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</si>
  <si>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</si>
  <si>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</si>
  <si>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</si>
  <si>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</si>
  <si>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</si>
  <si>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</si>
  <si>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</si>
  <si>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</si>
  <si>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</si>
  <si>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</si>
  <si>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</si>
  <si>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</si>
  <si>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</si>
  <si>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</si>
  <si>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</si>
  <si>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</si>
  <si>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</si>
  <si>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</si>
  <si>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</si>
  <si>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</si>
  <si>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</si>
  <si>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</si>
  <si>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</si>
  <si>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</si>
  <si>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</si>
  <si>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</si>
  <si>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</si>
  <si>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</si>
  <si>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</si>
  <si>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</si>
  <si>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</si>
  <si>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</si>
  <si>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</si>
  <si>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</si>
  <si>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</si>
  <si>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</si>
  <si>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</si>
  <si>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</si>
  <si>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</si>
  <si>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</si>
  <si>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</si>
  <si>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</si>
  <si>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</si>
  <si>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</si>
  <si>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</si>
  <si>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</si>
  <si>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</si>
  <si>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</si>
  <si>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</si>
  <si>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</si>
  <si>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</si>
  <si>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</si>
  <si>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</si>
  <si>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</si>
  <si>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</si>
  <si>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</si>
  <si>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</si>
  <si>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</si>
  <si>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</si>
  <si>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</si>
  <si>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</si>
  <si>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</si>
  <si>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</si>
  <si>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</si>
  <si>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</si>
  <si>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</si>
  <si>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</si>
  <si>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</si>
  <si>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</si>
  <si>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</si>
  <si>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</si>
  <si>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</si>
  <si>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</si>
  <si>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</si>
  <si>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</si>
  <si>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</si>
  <si>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</si>
  <si>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</si>
  <si>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</si>
  <si>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</si>
  <si>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</si>
  <si>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</si>
  <si>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</si>
  <si>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</si>
  <si>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</si>
  <si>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</si>
  <si>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</si>
  <si>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</si>
  <si>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</si>
  <si>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</si>
  <si>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</si>
  <si>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</si>
  <si>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</si>
  <si>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</si>
  <si>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</si>
  <si>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</si>
  <si>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</si>
  <si>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</si>
  <si>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</si>
  <si>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</si>
  <si>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</si>
  <si>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</si>
  <si>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</si>
  <si>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</si>
  <si>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</si>
  <si>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</si>
  <si>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</si>
  <si>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</si>
  <si>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</si>
  <si>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</si>
  <si>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</si>
  <si>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</si>
  <si>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</si>
  <si>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</si>
  <si>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</si>
  <si>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</si>
  <si>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</si>
  <si>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</si>
  <si>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</si>
  <si>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</si>
  <si>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</si>
  <si>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</si>
  <si>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</si>
  <si>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</si>
  <si>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</si>
  <si>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</si>
  <si>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</si>
  <si>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</si>
  <si>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</si>
  <si>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</si>
  <si>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</si>
  <si>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</si>
  <si>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</si>
  <si>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</si>
  <si>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</si>
  <si>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</si>
  <si>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</si>
  <si>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</si>
  <si>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</si>
  <si>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</si>
  <si>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</si>
  <si>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</si>
  <si>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</si>
  <si>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</si>
  <si>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</si>
  <si>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</si>
  <si>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</si>
  <si>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</si>
  <si>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</si>
  <si>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</si>
  <si>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</si>
  <si>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</si>
  <si>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</si>
  <si>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12/02</t>
  </si>
  <si>
    <t>10/22</t>
  </si>
  <si>
    <t>Barrington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</si>
</sst>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u/>
      <sz val="8"/>
      <color theme="10"/>
      <name val="Arial"/>
    </font>
    <font>
      <u/>
      <sz val="8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31">
    <xf numFmtId="0" fontId="0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zoomScalePageLayoutView="150" workbookViewId="0">
      <pane xSplit="5" ySplit="3" topLeftCell="F621" activePane="bottomRight" state="frozen"/>
      <selection pane="topRight" activeCell="F1" sqref="F1"/>
      <selection pane="bottomLeft" activeCell="A4" sqref="A4"/>
      <selection pane="bottomRight" activeCell="F51" sqref="F51"/>
    </sheetView>
  </sheetViews>
  <sheetFormatPr defaultColWidth="9"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33</v>
      </c>
      <c r="C2" s="21">
        <v>33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2307268.9300000002</v>
      </c>
      <c r="G9" s="18"/>
      <c r="H9" s="18">
        <v>590055.18000000005</v>
      </c>
      <c r="I9" s="18" t="s">
        <v>287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6964.31</v>
      </c>
      <c r="G10" s="18"/>
      <c r="H10" s="18"/>
      <c r="I10" s="18"/>
      <c r="J10" s="67">
        <f>SUM(I440)</f>
        <v>1161749.03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16391.03</v>
      </c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71587.67+167726.72</f>
        <v>239314.39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2569938.66</v>
      </c>
      <c r="G19" s="41">
        <f>SUM(G9:G18)</f>
        <v>0</v>
      </c>
      <c r="H19" s="41">
        <f>SUM(H9:H18)</f>
        <v>590055.18000000005</v>
      </c>
      <c r="I19" s="41">
        <f>SUM(I9:I18)</f>
        <v>0</v>
      </c>
      <c r="J19" s="41">
        <f>SUM(J9:J18)</f>
        <v>1161749.03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83863.360000000001</v>
      </c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1298300.3500000001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380025.45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1762189.1600000001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f>150000</f>
        <v>150000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370910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590055.18000000005</v>
      </c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1161749.03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286389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807299</v>
      </c>
      <c r="G51" s="41">
        <f>SUM(G35:G50)</f>
        <v>0</v>
      </c>
      <c r="H51" s="41">
        <f>SUM(H35:H50)</f>
        <v>590055.18000000005</v>
      </c>
      <c r="I51" s="41">
        <f>SUM(I35:I50)</f>
        <v>0</v>
      </c>
      <c r="J51" s="41">
        <f>SUM(J35:J50)</f>
        <v>1161749.03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2569488.16</v>
      </c>
      <c r="G52" s="41">
        <f>G51+G32</f>
        <v>0</v>
      </c>
      <c r="H52" s="41">
        <f>H51+H32</f>
        <v>590055.18000000005</v>
      </c>
      <c r="I52" s="41">
        <f>I51+I32</f>
        <v>0</v>
      </c>
      <c r="J52" s="41">
        <f>J51+J32</f>
        <v>1161749.03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12818651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12818651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63665.06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55281.53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118946.59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663.87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198972.89-683.22</f>
        <v>198289.67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115534.81</f>
        <v>115534.81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115534.81</v>
      </c>
      <c r="G111" s="41">
        <f>SUM(G96:G110)</f>
        <v>198289.67</v>
      </c>
      <c r="H111" s="41">
        <f>SUM(H96:H110)</f>
        <v>0</v>
      </c>
      <c r="I111" s="41">
        <f>SUM(I96:I110)</f>
        <v>0</v>
      </c>
      <c r="J111" s="41">
        <f>SUM(J96:J110)</f>
        <v>663.87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13053132.4</v>
      </c>
      <c r="G112" s="41">
        <f>G60+G111</f>
        <v>198289.67</v>
      </c>
      <c r="H112" s="41">
        <f>H60+H79+H94+H111</f>
        <v>0</v>
      </c>
      <c r="I112" s="41">
        <f>I60+I111</f>
        <v>0</v>
      </c>
      <c r="J112" s="41">
        <f>J60+J111</f>
        <v>663.87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4135347.79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2017784.95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1881.98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6155014.7200000007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231529.28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179712.94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4076.08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411242.22</v>
      </c>
      <c r="G136" s="41">
        <f>SUM(G123:G135)</f>
        <v>4076.08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6566256.9400000004</v>
      </c>
      <c r="G140" s="41">
        <f>G121+SUM(G136:G137)</f>
        <v>4076.08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91083.62+20210.91</f>
        <v>111294.53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20079.15+6040.24+166424.6+30452.21+49721.43+41878.8</f>
        <v>314596.43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90543.66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255000.13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255000.13</v>
      </c>
      <c r="G162" s="41">
        <f>SUM(G150:G161)</f>
        <v>90543.66</v>
      </c>
      <c r="H162" s="41">
        <f>SUM(H150:H161)</f>
        <v>425890.95999999996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255000.13</v>
      </c>
      <c r="G169" s="41">
        <f>G147+G162+SUM(G163:G168)</f>
        <v>90543.66</v>
      </c>
      <c r="H169" s="41">
        <f>H147+H162+SUM(H163:H168)</f>
        <v>425890.95999999996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6599.04</v>
      </c>
      <c r="H179" s="18"/>
      <c r="I179" s="18"/>
      <c r="J179" s="18">
        <v>450000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6599.04</v>
      </c>
      <c r="H183" s="41">
        <f>SUM(H179:H182)</f>
        <v>0</v>
      </c>
      <c r="I183" s="41">
        <f>SUM(I179:I182)</f>
        <v>0</v>
      </c>
      <c r="J183" s="41">
        <f>SUM(J179:J182)</f>
        <v>450000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6599.04</v>
      </c>
      <c r="H192" s="41">
        <f>+H183+SUM(H188:H191)</f>
        <v>0</v>
      </c>
      <c r="I192" s="41">
        <f>I177+I183+SUM(I188:I191)</f>
        <v>0</v>
      </c>
      <c r="J192" s="41">
        <f>J183</f>
        <v>450000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19874389.469999999</v>
      </c>
      <c r="G193" s="47">
        <f>G112+G140+G169+G192</f>
        <v>299508.45</v>
      </c>
      <c r="H193" s="47">
        <f>H112+H140+H169+H192</f>
        <v>425890.95999999996</v>
      </c>
      <c r="I193" s="47">
        <f>I112+I140+I169+I192</f>
        <v>0</v>
      </c>
      <c r="J193" s="47">
        <f>J112+J140+J192</f>
        <v>450663.87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717.89+60167.98+1207823.59+263366.43+7570+107805.74+79475.78+13884.95+4493.78</f>
        <v>1745306.1400000001</v>
      </c>
      <c r="G197" s="18">
        <f>39369.91+351044.7+103713.59+11768.71+2105.86+972.68+363+3028.74+855.82+97161.66+27920.89+168185.25+49642.95</f>
        <v>856133.75999999989</v>
      </c>
      <c r="H197" s="18">
        <f>7515.16+1578.59</f>
        <v>9093.75</v>
      </c>
      <c r="I197" s="18">
        <f>11999.45+3509.88+765.36+139.11+6530.08+1950.05+499.05+198.72+12688.9+1932.83+220.97+144.48+272.65+272.65+780.49+729.74+29462.01+2106.55+1460.48</f>
        <v>75663.450000000012</v>
      </c>
      <c r="J197" s="18"/>
      <c r="K197" s="18"/>
      <c r="L197" s="19">
        <f>SUM(F197:K197)</f>
        <v>2686197.1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15737+168377.15+36650.12+406534.4+48549.72+807+2849.2+4496.63+10735.75+8527.5+27572.4</f>
        <v>730836.87</v>
      </c>
      <c r="G198" s="18">
        <f>191184.6+31924.53+3252.67+691.5+141+1245.79+233.7+1375.36+43364.03+7550.45+443.97+68123.94+9534.68</f>
        <v>359066.22000000003</v>
      </c>
      <c r="H198" s="18">
        <f>45567.11+23850</f>
        <v>69417.11</v>
      </c>
      <c r="I198" s="18">
        <f>4040.51+1399.13+729.28+1963.5</f>
        <v>8132.42</v>
      </c>
      <c r="J198" s="18">
        <f>1554.11+379+1412.66+84+5174.54</f>
        <v>8604.31</v>
      </c>
      <c r="K198" s="18"/>
      <c r="L198" s="19">
        <f>SUM(F198:K198)</f>
        <v>1176056.9300000002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87800.18+13680.04+55798.08+1198.81+62616.13+84716.4+56029.6+58748.56+34707.66+23027.12</f>
        <v>478322.57999999996</v>
      </c>
      <c r="G202" s="18">
        <f>9655+460.57+72+222.26+7239.58+12543.22+1600+4000+1046+72+207.15+1214.79+4563.24+8030.52+26210.05+40573.16+18440.28+4000+475.04+72+36+232.86+139.57+6982.78+4592.26+12214.56+10367.9+36+58.13+1380.57+2545.02</f>
        <v>179282.51</v>
      </c>
      <c r="H202" s="18">
        <f>69+69+7933.86+33566.67+194.25</f>
        <v>41832.78</v>
      </c>
      <c r="I202" s="18">
        <f>397.1+126.6+931.73+157.01+2062.03+740.64+1837.62</f>
        <v>6252.7300000000005</v>
      </c>
      <c r="J202" s="18">
        <f>293+293</f>
        <v>586</v>
      </c>
      <c r="K202" s="18">
        <v>4478.7700000000004</v>
      </c>
      <c r="L202" s="19">
        <f t="shared" ref="L202:L208" si="0">SUM(F202:K202)</f>
        <v>710755.37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60733.92+35125.22+47075.1</f>
        <v>142934.24</v>
      </c>
      <c r="G203" s="18">
        <f>15950.92+471.62+36+151.15+4490.26+8741.1+13531.93+21551.4+662.58+36+115.17+3326.4+6773.4</f>
        <v>75837.929999999993</v>
      </c>
      <c r="H203" s="18">
        <f>50449.18+5857.16+6601.54</f>
        <v>62907.88</v>
      </c>
      <c r="I203" s="18">
        <f>749.08+6927.03-174.38+3398.51+2034.24+839.76+1578.05+681.62</f>
        <v>16033.91</v>
      </c>
      <c r="J203" s="18">
        <f>974+7500+2979.12+29809.16+7063.31+1432.98+99+5219.57+1984.1</f>
        <v>57061.24</v>
      </c>
      <c r="K203" s="18">
        <f>9990.09</f>
        <v>9990.09</v>
      </c>
      <c r="L203" s="19">
        <f t="shared" si="0"/>
        <v>364765.29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SUM(1470+292789.49)/3</f>
        <v>98086.496666666659</v>
      </c>
      <c r="G204" s="18">
        <f>SUM(257.2+127345.5)/3</f>
        <v>42534.23333333333</v>
      </c>
      <c r="H204" s="18">
        <f>SUM(110302.85+23793.17)/3</f>
        <v>44698.67333333334</v>
      </c>
      <c r="I204" s="18">
        <f>2197.29/3</f>
        <v>732.43</v>
      </c>
      <c r="J204" s="18">
        <f>2904.62/3</f>
        <v>968.20666666666659</v>
      </c>
      <c r="K204" s="18">
        <f>SUM(3297.65+5363.11)/3</f>
        <v>2886.92</v>
      </c>
      <c r="L204" s="19">
        <f t="shared" si="0"/>
        <v>189906.96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88434.06+76171.95+73348.08+61075.3+26321.03</f>
        <v>325350.42000000004</v>
      </c>
      <c r="G205" s="18">
        <f>55249.6+30419.49+2498.55+1499.88+144+72+546.83+245.94+17048.72+6528.4+29486.08+13620.84</f>
        <v>157360.32999999999</v>
      </c>
      <c r="H205" s="18">
        <f>3003.25+2766.93+359+2535.86+1902.14+1420.47+500+111.68+790.82</f>
        <v>13390.15</v>
      </c>
      <c r="I205" s="18">
        <f>1223.26+294.29+96.8</f>
        <v>1614.35</v>
      </c>
      <c r="J205" s="18">
        <f>8528.3+2326.1</f>
        <v>10854.4</v>
      </c>
      <c r="K205" s="18"/>
      <c r="L205" s="19">
        <f t="shared" si="0"/>
        <v>508569.65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f>98714.53/3</f>
        <v>32904.843333333331</v>
      </c>
      <c r="G206" s="18">
        <f>55185.56/3</f>
        <v>18395.186666666665</v>
      </c>
      <c r="H206" s="18">
        <f>13125.03/3</f>
        <v>4375.01</v>
      </c>
      <c r="I206" s="18">
        <f>1621.43/3</f>
        <v>540.47666666666669</v>
      </c>
      <c r="J206" s="18"/>
      <c r="K206" s="18"/>
      <c r="L206" s="19">
        <f t="shared" si="0"/>
        <v>56215.51666666667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75583.36+101241.82+6653</f>
        <v>183478.18</v>
      </c>
      <c r="G207" s="18">
        <f>31873.01+31038+1325.54+126+236.41+8994.27+11221.09</f>
        <v>84814.319999999992</v>
      </c>
      <c r="H207" s="18">
        <f>2358.24+503.5+825.5+1207.5+12780+7679+4604.5+1365+2544.64+3164.64+7028.3+3069.59+50794.53+10213.45+6547.83+32499.5+250+125</f>
        <v>147560.72</v>
      </c>
      <c r="I207" s="18">
        <f>15137.02+6754.76+58617.6+11834.83+55672.78+20672.72+7516.09+1749.33</f>
        <v>177955.12999999998</v>
      </c>
      <c r="J207" s="18">
        <f>1441.12+8044.94</f>
        <v>9486.06</v>
      </c>
      <c r="K207" s="18"/>
      <c r="L207" s="19">
        <f t="shared" si="0"/>
        <v>603294.41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525+219600+55215.48+52703.97+3961.74+1383.85</f>
        <v>333390.03999999992</v>
      </c>
      <c r="I208" s="18"/>
      <c r="J208" s="18"/>
      <c r="K208" s="18"/>
      <c r="L208" s="19">
        <f t="shared" si="0"/>
        <v>333390.03999999992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3737219.77</v>
      </c>
      <c r="G211" s="41">
        <f t="shared" si="1"/>
        <v>1773424.4900000002</v>
      </c>
      <c r="H211" s="41">
        <f t="shared" si="1"/>
        <v>726666.11333333328</v>
      </c>
      <c r="I211" s="41">
        <f t="shared" si="1"/>
        <v>286924.89666666667</v>
      </c>
      <c r="J211" s="41">
        <f t="shared" si="1"/>
        <v>87560.21666666666</v>
      </c>
      <c r="K211" s="41">
        <f t="shared" si="1"/>
        <v>17355.78</v>
      </c>
      <c r="L211" s="41">
        <f t="shared" si="1"/>
        <v>6629151.2666666675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60167.98+1323603.86+14861.4+36491.18</f>
        <v>1435124.42</v>
      </c>
      <c r="G215" s="18">
        <f>361287.64+10513.78+1008+3230.8+104284.73+189319.87+39369.91</f>
        <v>709014.7300000001</v>
      </c>
      <c r="H215" s="18">
        <f>9015+4663.85+618+239.42</f>
        <v>14536.27</v>
      </c>
      <c r="I215" s="18">
        <f>13840.36+1344.1+5945.69+604.25+581.33+1600+3111.49+409.07+435.06+5113.77+891.74+549.85+242.69+315+29462.01+2916.05</f>
        <v>67362.460000000006</v>
      </c>
      <c r="J215" s="18">
        <f>844</f>
        <v>844</v>
      </c>
      <c r="K215" s="18">
        <f>3574.96</f>
        <v>3574.96</v>
      </c>
      <c r="L215" s="19">
        <f>SUM(F215:K215)</f>
        <v>2230456.84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15737+4996.62+293356.8+263268.55+708+2358.5-14.35</f>
        <v>580411.12</v>
      </c>
      <c r="G216" s="18">
        <f>443.97+1375.36+225433.6+3647.04+645+1370.35+41507.88+70470.3</f>
        <v>344893.5</v>
      </c>
      <c r="H216" s="18">
        <f>283826.02+45567.11</f>
        <v>329393.13</v>
      </c>
      <c r="I216" s="18">
        <f>2959.02+4046.75</f>
        <v>7005.77</v>
      </c>
      <c r="J216" s="18">
        <f>4517.84+39.91+1658.64</f>
        <v>6216.39</v>
      </c>
      <c r="K216" s="18"/>
      <c r="L216" s="19">
        <f>SUM(F216:K216)</f>
        <v>1267919.9099999999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13040+27360</f>
        <v>40400</v>
      </c>
      <c r="G218" s="18">
        <f>997.58+1476.35+2093.04+2903.14</f>
        <v>7470.1099999999988</v>
      </c>
      <c r="H218" s="18">
        <f>5902.07</f>
        <v>5902.07</v>
      </c>
      <c r="I218" s="18">
        <f>4672.23</f>
        <v>4672.2299999999996</v>
      </c>
      <c r="J218" s="18">
        <v>0</v>
      </c>
      <c r="K218" s="18">
        <v>97.37</v>
      </c>
      <c r="L218" s="19">
        <f>SUM(F218:K218)</f>
        <v>58541.780000000006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79968.51+13680.04+39250.08+62616.13+84716.4+23231.33</f>
        <v>303462.49000000005</v>
      </c>
      <c r="G220" s="18">
        <f>43102.8+1121.41+72+199.74+5627.21+11509.85+1600+21551.28+36+97.72+1214.79+2755.44+5557.92+26210.05+40573.15+1000+36+53.7+1777.19+2465.53</f>
        <v>166561.78000000003</v>
      </c>
      <c r="H220" s="18">
        <f>69</f>
        <v>69</v>
      </c>
      <c r="I220" s="18">
        <f>531.95+1160.13+2062.03+740.64</f>
        <v>4494.7500000000009</v>
      </c>
      <c r="J220" s="18">
        <f>293</f>
        <v>293</v>
      </c>
      <c r="K220" s="18">
        <f>8957.55/2</f>
        <v>4478.7749999999996</v>
      </c>
      <c r="L220" s="19">
        <f t="shared" ref="L220:L226" si="2">SUM(F220:K220)</f>
        <v>479359.7950000001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49000.08+35125.22+41949.96</f>
        <v>126075.26000000001</v>
      </c>
      <c r="G221" s="18">
        <f>15973.76+478.62+36+121.99+3571.64+6938.4+4000+36+104.53+13531.93+3515.17+6037.66</f>
        <v>54345.7</v>
      </c>
      <c r="H221" s="18">
        <f>50449.17+5857.17+6601.54</f>
        <v>62907.88</v>
      </c>
      <c r="I221" s="18">
        <f>152.25+5545.81+3294.01+2457.08+3197.21</f>
        <v>14646.36</v>
      </c>
      <c r="J221" s="18">
        <f>579.91+7500+2979.12+60997.48+751.01+5500</f>
        <v>78307.520000000004</v>
      </c>
      <c r="K221" s="18">
        <f>9990.08</f>
        <v>9990.08</v>
      </c>
      <c r="L221" s="19">
        <f t="shared" si="2"/>
        <v>346272.80000000005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SUM(1470+292789.49)/3</f>
        <v>98086.496666666659</v>
      </c>
      <c r="G222" s="18">
        <f>SUM(257.2+127345.5)/3</f>
        <v>42534.23333333333</v>
      </c>
      <c r="H222" s="18">
        <f>SUM(110302.85+23793.17)/3</f>
        <v>44698.67333333334</v>
      </c>
      <c r="I222" s="18">
        <f>2197.29/3</f>
        <v>732.43</v>
      </c>
      <c r="J222" s="18">
        <f>2904.62/3</f>
        <v>968.20666666666659</v>
      </c>
      <c r="K222" s="18">
        <f>SUM(3297.65+5363.11)/3</f>
        <v>2886.92</v>
      </c>
      <c r="L222" s="19">
        <f t="shared" si="2"/>
        <v>189906.96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84659.9+78570.96+55768.95+3675.17</f>
        <v>222674.98</v>
      </c>
      <c r="G223" s="18">
        <f>60601.2+3014.33+138+545.32+16753.22+29119.67</f>
        <v>110171.74</v>
      </c>
      <c r="H223" s="18">
        <f>1124+7756.96+1500+500</f>
        <v>10880.96</v>
      </c>
      <c r="I223" s="18">
        <f>1132.02</f>
        <v>1132.02</v>
      </c>
      <c r="J223" s="18">
        <f>12407.1</f>
        <v>12407.1</v>
      </c>
      <c r="K223" s="18">
        <f>1120+362</f>
        <v>1482</v>
      </c>
      <c r="L223" s="19">
        <f t="shared" si="2"/>
        <v>358748.80000000005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f>98714.53/3</f>
        <v>32904.843333333331</v>
      </c>
      <c r="G224" s="18">
        <f>55185.56/3</f>
        <v>18395.186666666665</v>
      </c>
      <c r="H224" s="18">
        <f>13125.03/3</f>
        <v>4375.01</v>
      </c>
      <c r="I224" s="18">
        <f>1621.43/3</f>
        <v>540.47666666666669</v>
      </c>
      <c r="J224" s="18"/>
      <c r="K224" s="18"/>
      <c r="L224" s="19">
        <f t="shared" si="2"/>
        <v>56215.51666666667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75583.36+101241.6+6611.45</f>
        <v>183436.41000000003</v>
      </c>
      <c r="G225" s="18">
        <f>31873.01+31038+1325.54+126+236.41+7715.69+10233.81</f>
        <v>82548.459999999992</v>
      </c>
      <c r="H225" s="18">
        <f>2358.24+125+1675+956.5+21587+1365+6767.48+2702.06+9944.57+40274.76+32499.5</f>
        <v>120255.11</v>
      </c>
      <c r="I225" s="18">
        <f>24657.92+116477.58+60037.07+4224.52</f>
        <v>205397.09</v>
      </c>
      <c r="J225" s="18">
        <f>1441.12+8044.95</f>
        <v>9486.07</v>
      </c>
      <c r="K225" s="18"/>
      <c r="L225" s="19">
        <f t="shared" si="2"/>
        <v>601123.1399999999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219600+55215.44+6317.46+6587.1</f>
        <v>287720</v>
      </c>
      <c r="I226" s="18"/>
      <c r="J226" s="18"/>
      <c r="K226" s="18"/>
      <c r="L226" s="19">
        <f t="shared" si="2"/>
        <v>287720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3022576.02</v>
      </c>
      <c r="G229" s="41">
        <f>SUM(G215:G228)</f>
        <v>1535935.4400000002</v>
      </c>
      <c r="H229" s="41">
        <f>SUM(H215:H228)</f>
        <v>880738.10333333339</v>
      </c>
      <c r="I229" s="41">
        <f>SUM(I215:I228)</f>
        <v>305983.58666666667</v>
      </c>
      <c r="J229" s="41">
        <f>SUM(J215:J228)</f>
        <v>108522.28666666668</v>
      </c>
      <c r="K229" s="41">
        <f t="shared" si="3"/>
        <v>22510.104999999996</v>
      </c>
      <c r="L229" s="41">
        <f t="shared" si="3"/>
        <v>5876265.541666666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f>2588528.79+1514495.61+1021346.81</f>
        <v>5124371.2100000009</v>
      </c>
      <c r="I233" s="18"/>
      <c r="J233" s="18"/>
      <c r="K233" s="18"/>
      <c r="L233" s="19">
        <f>SUM(F233:K233)</f>
        <v>5124371.2100000009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f>475794.97+99148.72+127854.87</f>
        <v>702798.55999999994</v>
      </c>
      <c r="I234" s="18"/>
      <c r="J234" s="18"/>
      <c r="K234" s="18"/>
      <c r="L234" s="19">
        <f>SUM(F234:K234)</f>
        <v>702798.55999999994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SUM(1470+292789.49)/3</f>
        <v>98086.496666666659</v>
      </c>
      <c r="G240" s="18">
        <f>SUM(257.2+127345.5)/3</f>
        <v>42534.23333333333</v>
      </c>
      <c r="H240" s="18">
        <f>SUM(110302.85+23793.17)/3</f>
        <v>44698.67333333334</v>
      </c>
      <c r="I240" s="18">
        <f>2197.29/3</f>
        <v>732.43</v>
      </c>
      <c r="J240" s="18">
        <f>2904.62/3</f>
        <v>968.20666666666659</v>
      </c>
      <c r="K240" s="18">
        <f>SUM(3297.65+5363.11)/3</f>
        <v>2886.92</v>
      </c>
      <c r="L240" s="19">
        <f t="shared" si="4"/>
        <v>189906.96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f>98714.53/3</f>
        <v>32904.843333333331</v>
      </c>
      <c r="G242" s="18">
        <f>55185.56/3</f>
        <v>18395.186666666665</v>
      </c>
      <c r="H242" s="18">
        <f>13125.03/3</f>
        <v>4375.01</v>
      </c>
      <c r="I242" s="18">
        <f>1621.43/3</f>
        <v>540.47666666666669</v>
      </c>
      <c r="J242" s="18"/>
      <c r="K242" s="18"/>
      <c r="L242" s="19">
        <f t="shared" si="4"/>
        <v>56215.51666666667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238284.05</v>
      </c>
      <c r="I244" s="18"/>
      <c r="J244" s="18"/>
      <c r="K244" s="18"/>
      <c r="L244" s="19">
        <f t="shared" si="4"/>
        <v>238284.05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 t="s">
        <v>287</v>
      </c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130991.34</v>
      </c>
      <c r="G247" s="41">
        <f t="shared" si="5"/>
        <v>60929.42</v>
      </c>
      <c r="H247" s="41">
        <f t="shared" si="5"/>
        <v>6114527.5033333329</v>
      </c>
      <c r="I247" s="41">
        <f t="shared" si="5"/>
        <v>1272.9066666666668</v>
      </c>
      <c r="J247" s="41">
        <f t="shared" si="5"/>
        <v>968.20666666666659</v>
      </c>
      <c r="K247" s="41">
        <f t="shared" si="5"/>
        <v>2886.92</v>
      </c>
      <c r="L247" s="41">
        <f t="shared" si="5"/>
        <v>6311576.2966666669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6890787.1299999999</v>
      </c>
      <c r="G257" s="41">
        <f t="shared" si="8"/>
        <v>3370289.3500000006</v>
      </c>
      <c r="H257" s="41">
        <f t="shared" si="8"/>
        <v>7721931.7199999997</v>
      </c>
      <c r="I257" s="41">
        <f t="shared" si="8"/>
        <v>594181.39</v>
      </c>
      <c r="J257" s="41">
        <f t="shared" si="8"/>
        <v>197050.71000000002</v>
      </c>
      <c r="K257" s="41">
        <f t="shared" si="8"/>
        <v>42752.804999999993</v>
      </c>
      <c r="L257" s="41">
        <f t="shared" si="8"/>
        <v>18816993.105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710000</v>
      </c>
      <c r="L260" s="19">
        <f>SUM(F260:K260)</f>
        <v>710000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276012.5</v>
      </c>
      <c r="L261" s="19">
        <f>SUM(F261:K261)</f>
        <v>276012.5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6599.04</v>
      </c>
      <c r="L263" s="19">
        <f>SUM(F263:K263)</f>
        <v>6599.04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450000</v>
      </c>
      <c r="L266" s="19">
        <f t="shared" si="9"/>
        <v>450000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1442611.54</v>
      </c>
      <c r="L270" s="41">
        <f t="shared" si="9"/>
        <v>1442611.54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6890787.1299999999</v>
      </c>
      <c r="G271" s="42">
        <f t="shared" si="11"/>
        <v>3370289.3500000006</v>
      </c>
      <c r="H271" s="42">
        <f t="shared" si="11"/>
        <v>7721931.7199999997</v>
      </c>
      <c r="I271" s="42">
        <f t="shared" si="11"/>
        <v>594181.39</v>
      </c>
      <c r="J271" s="42">
        <f t="shared" si="11"/>
        <v>197050.71000000002</v>
      </c>
      <c r="K271" s="42">
        <f t="shared" si="11"/>
        <v>1485364.345</v>
      </c>
      <c r="L271" s="42">
        <f t="shared" si="11"/>
        <v>20259604.645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66338.67+19254.04+595+16054.03</f>
        <v>102241.73999999999</v>
      </c>
      <c r="G276" s="18">
        <f>10129+60+113.53+5187.08+7157.66+45.52</f>
        <v>22692.79</v>
      </c>
      <c r="H276" s="18">
        <f>1000+21529.86</f>
        <v>22529.86</v>
      </c>
      <c r="I276" s="18">
        <f>1664+70.88+4647.49+4910.73+19.95+475.2+6400.43</f>
        <v>18188.68</v>
      </c>
      <c r="J276" s="18"/>
      <c r="K276" s="18">
        <f>50</f>
        <v>50</v>
      </c>
      <c r="L276" s="19">
        <f>SUM(F276:K276)</f>
        <v>165703.07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88000.12+35350.12+37800.1</f>
        <v>161150.34</v>
      </c>
      <c r="G277" s="18">
        <f>7981.2+14534.73+290.47+316.41+60+30+30+186.51+80.57+80.59+6614.61+2502.23+2707.01+12486.59+5087.64+5289.43</f>
        <v>58277.99</v>
      </c>
      <c r="H277" s="18">
        <f>6496.67</f>
        <v>6496.67</v>
      </c>
      <c r="I277" s="18">
        <f>2551.41+5660</f>
        <v>8211.41</v>
      </c>
      <c r="J277" s="18">
        <f>7494</f>
        <v>7494</v>
      </c>
      <c r="K277" s="18"/>
      <c r="L277" s="19">
        <f>SUM(F277:K277)</f>
        <v>241630.41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680.65</f>
        <v>680.65</v>
      </c>
      <c r="G282" s="18"/>
      <c r="H282" s="18">
        <f>17738.14</f>
        <v>17738.14</v>
      </c>
      <c r="I282" s="18">
        <f>595+1065.36</f>
        <v>1660.36</v>
      </c>
      <c r="J282" s="18"/>
      <c r="K282" s="18"/>
      <c r="L282" s="19">
        <f t="shared" si="12"/>
        <v>20079.150000000001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264072.73</v>
      </c>
      <c r="G290" s="42">
        <f t="shared" si="13"/>
        <v>80970.78</v>
      </c>
      <c r="H290" s="42">
        <f t="shared" si="13"/>
        <v>46764.67</v>
      </c>
      <c r="I290" s="42">
        <f t="shared" si="13"/>
        <v>28060.45</v>
      </c>
      <c r="J290" s="42">
        <f t="shared" si="13"/>
        <v>7494</v>
      </c>
      <c r="K290" s="42">
        <f t="shared" si="13"/>
        <v>50</v>
      </c>
      <c r="L290" s="41">
        <f t="shared" si="13"/>
        <v>427412.63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264072.73</v>
      </c>
      <c r="G338" s="41">
        <f t="shared" si="20"/>
        <v>80970.78</v>
      </c>
      <c r="H338" s="41">
        <f t="shared" si="20"/>
        <v>46764.67</v>
      </c>
      <c r="I338" s="41">
        <f t="shared" si="20"/>
        <v>28060.45</v>
      </c>
      <c r="J338" s="41">
        <f t="shared" si="20"/>
        <v>7494</v>
      </c>
      <c r="K338" s="41">
        <f t="shared" si="20"/>
        <v>50</v>
      </c>
      <c r="L338" s="41">
        <f t="shared" si="20"/>
        <v>427412.63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f>1178.1+580.28</f>
        <v>1758.3799999999999</v>
      </c>
      <c r="L344" s="19">
        <f t="shared" ref="L344:L350" si="21">SUM(F344:K344)</f>
        <v>1758.3799999999999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1758.3799999999999</v>
      </c>
      <c r="L351" s="41">
        <f>SUM(L341:L350)</f>
        <v>1758.3799999999999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264072.73</v>
      </c>
      <c r="G352" s="41">
        <f>G338</f>
        <v>80970.78</v>
      </c>
      <c r="H352" s="41">
        <f>H338</f>
        <v>46764.67</v>
      </c>
      <c r="I352" s="41">
        <f>I338</f>
        <v>28060.45</v>
      </c>
      <c r="J352" s="41">
        <f>J338</f>
        <v>7494</v>
      </c>
      <c r="K352" s="47">
        <f>K338+K351</f>
        <v>1808.3799999999999</v>
      </c>
      <c r="L352" s="41">
        <f>L338+L351</f>
        <v>429171.01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SUM(290673+7911.07)/2</f>
        <v>149292.035</v>
      </c>
      <c r="I358" s="18"/>
      <c r="J358" s="18"/>
      <c r="K358" s="18">
        <f>924.38/2</f>
        <v>462.19</v>
      </c>
      <c r="L358" s="13">
        <f>SUM(F358:K358)</f>
        <v>149754.22500000001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f>SUM(290673+7911.07)/2</f>
        <v>149292.035</v>
      </c>
      <c r="I359" s="18"/>
      <c r="J359" s="18"/>
      <c r="K359" s="18">
        <f>924.38/2</f>
        <v>462.19</v>
      </c>
      <c r="L359" s="19">
        <f>SUM(F359:K359)</f>
        <v>149754.22500000001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298584.07</v>
      </c>
      <c r="I362" s="47">
        <f t="shared" si="22"/>
        <v>0</v>
      </c>
      <c r="J362" s="47">
        <f t="shared" si="22"/>
        <v>0</v>
      </c>
      <c r="K362" s="47">
        <f t="shared" si="22"/>
        <v>924.38</v>
      </c>
      <c r="L362" s="47">
        <f t="shared" si="22"/>
        <v>299508.45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f>300000+150000</f>
        <v>450000</v>
      </c>
      <c r="H389" s="18">
        <f>254.73+14.82+206.08+188.24</f>
        <v>663.87</v>
      </c>
      <c r="I389" s="18"/>
      <c r="J389" s="24" t="s">
        <v>289</v>
      </c>
      <c r="K389" s="24" t="s">
        <v>289</v>
      </c>
      <c r="L389" s="56">
        <f t="shared" si="25"/>
        <v>450663.87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450000</v>
      </c>
      <c r="H393" s="139">
        <f>SUM(H387:H392)</f>
        <v>663.87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450663.87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450000</v>
      </c>
      <c r="H408" s="47">
        <f>H393+H401+H407</f>
        <v>663.87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450663.87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>
        <v>46977.46</v>
      </c>
      <c r="I415" s="18"/>
      <c r="J415" s="18"/>
      <c r="K415" s="18"/>
      <c r="L415" s="56">
        <f t="shared" si="27"/>
        <v>46977.46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46977.46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46977.46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46977.46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46977.46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1161749.03</v>
      </c>
      <c r="G440" s="18"/>
      <c r="H440" s="18"/>
      <c r="I440" s="56">
        <f t="shared" si="33"/>
        <v>1161749.03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1161749.03</v>
      </c>
      <c r="G446" s="13">
        <f>SUM(G439:G445)</f>
        <v>0</v>
      </c>
      <c r="H446" s="13">
        <f>SUM(H439:H445)</f>
        <v>0</v>
      </c>
      <c r="I446" s="13">
        <f>SUM(I439:I445)</f>
        <v>1161749.03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>
        <v>1161749.03</v>
      </c>
      <c r="G454" s="18"/>
      <c r="H454" s="18"/>
      <c r="I454" s="56">
        <f t="shared" ref="I454:I459" si="34">SUM(F454:H454)</f>
        <v>1161749.03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1161749.03</v>
      </c>
      <c r="G460" s="83">
        <f>SUM(G454:G459)</f>
        <v>0</v>
      </c>
      <c r="H460" s="83">
        <f>SUM(H454:H459)</f>
        <v>0</v>
      </c>
      <c r="I460" s="83">
        <f>SUM(I454:I459)</f>
        <v>1161749.03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1161749.03</v>
      </c>
      <c r="G461" s="42">
        <f>G452+G460</f>
        <v>0</v>
      </c>
      <c r="H461" s="42">
        <f>H452+H460</f>
        <v>0</v>
      </c>
      <c r="I461" s="42">
        <f>I452+I460</f>
        <v>1161749.03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1192964.68</v>
      </c>
      <c r="G465" s="18">
        <v>0</v>
      </c>
      <c r="H465" s="18">
        <v>593335.23</v>
      </c>
      <c r="I465" s="18">
        <v>0</v>
      </c>
      <c r="J465" s="18">
        <v>758062.62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19874389.469999999</v>
      </c>
      <c r="G468" s="18">
        <v>299508.45</v>
      </c>
      <c r="H468" s="18">
        <v>425890.96</v>
      </c>
      <c r="I468" s="18"/>
      <c r="J468" s="18">
        <f>300000+150000+663.87</f>
        <v>450663.87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19874389.469999999</v>
      </c>
      <c r="G470" s="53">
        <f>SUM(G468:G469)</f>
        <v>299508.45</v>
      </c>
      <c r="H470" s="53">
        <f>SUM(H468:H469)</f>
        <v>425890.96</v>
      </c>
      <c r="I470" s="53">
        <f>SUM(I468:I469)</f>
        <v>0</v>
      </c>
      <c r="J470" s="53">
        <f>SUM(J468:J469)</f>
        <v>450663.87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20259604.649999999</v>
      </c>
      <c r="G472" s="18">
        <v>299508.45</v>
      </c>
      <c r="H472" s="18">
        <v>429171.01</v>
      </c>
      <c r="I472" s="18"/>
      <c r="J472" s="18">
        <v>46977.46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20259604.649999999</v>
      </c>
      <c r="G474" s="53">
        <f>SUM(G472:G473)</f>
        <v>299508.45</v>
      </c>
      <c r="H474" s="53">
        <f>SUM(H472:H473)</f>
        <v>429171.01</v>
      </c>
      <c r="I474" s="53">
        <f>SUM(I472:I473)</f>
        <v>0</v>
      </c>
      <c r="J474" s="53">
        <f>SUM(J472:J473)</f>
        <v>46977.46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807749.5</v>
      </c>
      <c r="G476" s="53">
        <f>(G465+G470)- G474</f>
        <v>0</v>
      </c>
      <c r="H476" s="53">
        <f>(H465+H470)- H474</f>
        <v>590055.17999999993</v>
      </c>
      <c r="I476" s="53">
        <f>(I465+I470)- I474</f>
        <v>0</v>
      </c>
      <c r="J476" s="53">
        <f>(J465+J470)- J474</f>
        <v>1161749.03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14144129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3.7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5680000</v>
      </c>
      <c r="G495" s="18"/>
      <c r="H495" s="18"/>
      <c r="I495" s="18"/>
      <c r="J495" s="18"/>
      <c r="K495" s="53">
        <f>SUM(F495:J495)</f>
        <v>5680000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710000</v>
      </c>
      <c r="G497" s="18"/>
      <c r="H497" s="18"/>
      <c r="I497" s="18"/>
      <c r="J497" s="18"/>
      <c r="K497" s="53">
        <f t="shared" si="35"/>
        <v>710000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F496+F495-F497</f>
        <v>4970000</v>
      </c>
      <c r="G498" s="204"/>
      <c r="H498" s="204"/>
      <c r="I498" s="204"/>
      <c r="J498" s="204"/>
      <c r="K498" s="205">
        <f t="shared" si="35"/>
        <v>4970000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1069615</v>
      </c>
      <c r="G499" s="18"/>
      <c r="H499" s="18"/>
      <c r="I499" s="18"/>
      <c r="J499" s="18"/>
      <c r="K499" s="53">
        <f t="shared" si="35"/>
        <v>1069615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6039615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6039615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710000</v>
      </c>
      <c r="G501" s="204"/>
      <c r="H501" s="204"/>
      <c r="I501" s="204"/>
      <c r="J501" s="204"/>
      <c r="K501" s="205">
        <f t="shared" si="35"/>
        <v>710000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246015</v>
      </c>
      <c r="G502" s="18"/>
      <c r="H502" s="18"/>
      <c r="I502" s="18"/>
      <c r="J502" s="18"/>
      <c r="K502" s="53">
        <f t="shared" si="35"/>
        <v>246015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956015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956015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730836.87</f>
        <v>730836.87</v>
      </c>
      <c r="G521" s="18">
        <f>359066.22</f>
        <v>359066.22</v>
      </c>
      <c r="H521" s="18">
        <f>69417.11</f>
        <v>69417.11</v>
      </c>
      <c r="I521" s="18">
        <f>8132.42</f>
        <v>8132.42</v>
      </c>
      <c r="J521" s="18">
        <f>8604.31</f>
        <v>8604.31</v>
      </c>
      <c r="K521" s="18"/>
      <c r="L521" s="88">
        <f>SUM(F521:K521)</f>
        <v>1176056.93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580411.12</f>
        <v>580411.12</v>
      </c>
      <c r="G522" s="18">
        <f>344893.5</f>
        <v>344893.5</v>
      </c>
      <c r="H522" s="18">
        <f>329393.13</f>
        <v>329393.13</v>
      </c>
      <c r="I522" s="18">
        <f>7005.77</f>
        <v>7005.77</v>
      </c>
      <c r="J522" s="18">
        <f>6216.39</f>
        <v>6216.39</v>
      </c>
      <c r="K522" s="18"/>
      <c r="L522" s="88">
        <f>SUM(F522:K522)</f>
        <v>1267919.9099999999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f>702798.56</f>
        <v>702798.56</v>
      </c>
      <c r="I523" s="18"/>
      <c r="J523" s="18"/>
      <c r="K523" s="18"/>
      <c r="L523" s="88">
        <f>SUM(F523:K523)</f>
        <v>702798.56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1311247.99</v>
      </c>
      <c r="G524" s="108">
        <f t="shared" ref="G524:L524" si="36">SUM(G521:G523)</f>
        <v>703959.72</v>
      </c>
      <c r="H524" s="108">
        <f t="shared" si="36"/>
        <v>1101608.8</v>
      </c>
      <c r="I524" s="108">
        <f t="shared" si="36"/>
        <v>15138.19</v>
      </c>
      <c r="J524" s="108">
        <f t="shared" si="36"/>
        <v>14820.7</v>
      </c>
      <c r="K524" s="108">
        <f t="shared" si="36"/>
        <v>0</v>
      </c>
      <c r="L524" s="89">
        <f t="shared" si="36"/>
        <v>3146775.4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478322.58</f>
        <v>478322.58</v>
      </c>
      <c r="G526" s="18">
        <f>179282.51</f>
        <v>179282.51</v>
      </c>
      <c r="H526" s="18">
        <f>41832.78</f>
        <v>41832.78</v>
      </c>
      <c r="I526" s="18">
        <v>6252.73</v>
      </c>
      <c r="J526" s="18">
        <v>586</v>
      </c>
      <c r="K526" s="18"/>
      <c r="L526" s="88">
        <f>SUM(F526:K526)</f>
        <v>706276.60000000009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303462.49</v>
      </c>
      <c r="G527" s="18">
        <v>166561.78</v>
      </c>
      <c r="H527" s="18">
        <v>69</v>
      </c>
      <c r="I527" s="18">
        <v>4494.75</v>
      </c>
      <c r="J527" s="18">
        <v>293</v>
      </c>
      <c r="K527" s="18"/>
      <c r="L527" s="88">
        <f>SUM(F527:K527)</f>
        <v>474881.02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781785.07000000007</v>
      </c>
      <c r="G529" s="89">
        <f t="shared" ref="G529:L529" si="37">SUM(G526:G528)</f>
        <v>345844.29000000004</v>
      </c>
      <c r="H529" s="89">
        <f t="shared" si="37"/>
        <v>41901.78</v>
      </c>
      <c r="I529" s="89">
        <f t="shared" si="37"/>
        <v>10747.48</v>
      </c>
      <c r="J529" s="89">
        <f t="shared" si="37"/>
        <v>879</v>
      </c>
      <c r="K529" s="89">
        <f t="shared" si="37"/>
        <v>0</v>
      </c>
      <c r="L529" s="89">
        <f t="shared" si="37"/>
        <v>1181157.6200000001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98086.5</v>
      </c>
      <c r="G531" s="18">
        <v>42534.23</v>
      </c>
      <c r="H531" s="18">
        <v>44698.67</v>
      </c>
      <c r="I531" s="18">
        <v>732.43</v>
      </c>
      <c r="J531" s="18">
        <v>968.21</v>
      </c>
      <c r="K531" s="18"/>
      <c r="L531" s="88">
        <f>SUM(F531:K531)</f>
        <v>187020.04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98086.5</v>
      </c>
      <c r="G532" s="18">
        <v>42534.23</v>
      </c>
      <c r="H532" s="18">
        <v>44698.67</v>
      </c>
      <c r="I532" s="18">
        <v>732.43</v>
      </c>
      <c r="J532" s="18">
        <v>968.21</v>
      </c>
      <c r="K532" s="18"/>
      <c r="L532" s="88">
        <f>SUM(F532:K532)</f>
        <v>187020.04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98086.5</v>
      </c>
      <c r="G533" s="18">
        <v>42534.23</v>
      </c>
      <c r="H533" s="18">
        <v>44698.67</v>
      </c>
      <c r="I533" s="18">
        <v>732.43</v>
      </c>
      <c r="J533" s="18">
        <v>968.21</v>
      </c>
      <c r="K533" s="18"/>
      <c r="L533" s="88">
        <f>SUM(F533:K533)</f>
        <v>187020.04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294259.5</v>
      </c>
      <c r="G534" s="89">
        <f t="shared" ref="G534:L534" si="38">SUM(G531:G533)</f>
        <v>127602.69</v>
      </c>
      <c r="H534" s="89">
        <f t="shared" si="38"/>
        <v>134096.01</v>
      </c>
      <c r="I534" s="89">
        <f t="shared" si="38"/>
        <v>2197.29</v>
      </c>
      <c r="J534" s="89">
        <f t="shared" si="38"/>
        <v>2904.63</v>
      </c>
      <c r="K534" s="89">
        <f t="shared" si="38"/>
        <v>0</v>
      </c>
      <c r="L534" s="89">
        <f t="shared" si="38"/>
        <v>561060.12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f>76788.9/3</f>
        <v>25596.3</v>
      </c>
      <c r="I536" s="18"/>
      <c r="J536" s="18"/>
      <c r="K536" s="18"/>
      <c r="L536" s="88">
        <f>SUM(F536:K536)</f>
        <v>25596.3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f>76788.9/3</f>
        <v>25596.3</v>
      </c>
      <c r="I537" s="18"/>
      <c r="J537" s="18"/>
      <c r="K537" s="18"/>
      <c r="L537" s="88">
        <f>SUM(F537:K537)</f>
        <v>25596.3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f>76788.9/3</f>
        <v>25596.3</v>
      </c>
      <c r="I538" s="18"/>
      <c r="J538" s="18"/>
      <c r="K538" s="18"/>
      <c r="L538" s="88">
        <f>SUM(F538:K538)</f>
        <v>25596.3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76788.899999999994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76788.899999999994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55215.48+52703.97</f>
        <v>107919.45000000001</v>
      </c>
      <c r="I541" s="18"/>
      <c r="J541" s="18"/>
      <c r="K541" s="18"/>
      <c r="L541" s="88">
        <f>SUM(F541:K541)</f>
        <v>107919.45000000001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55215.44</v>
      </c>
      <c r="I542" s="18"/>
      <c r="J542" s="18"/>
      <c r="K542" s="18"/>
      <c r="L542" s="88">
        <f>SUM(F542:K542)</f>
        <v>55215.44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62604.05</v>
      </c>
      <c r="I543" s="18"/>
      <c r="J543" s="18"/>
      <c r="K543" s="18"/>
      <c r="L543" s="88">
        <f>SUM(F543:K543)</f>
        <v>62604.05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225738.94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225738.94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2387292.56</v>
      </c>
      <c r="G545" s="89">
        <f t="shared" ref="G545:L545" si="41">G524+G529+G534+G539+G544</f>
        <v>1177406.7</v>
      </c>
      <c r="H545" s="89">
        <f t="shared" si="41"/>
        <v>1580134.43</v>
      </c>
      <c r="I545" s="89">
        <f t="shared" si="41"/>
        <v>28082.959999999999</v>
      </c>
      <c r="J545" s="89">
        <f t="shared" si="41"/>
        <v>18604.330000000002</v>
      </c>
      <c r="K545" s="89">
        <f t="shared" si="41"/>
        <v>0</v>
      </c>
      <c r="L545" s="89">
        <f t="shared" si="41"/>
        <v>5191520.9800000004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1176056.93</v>
      </c>
      <c r="G549" s="87">
        <f>L526</f>
        <v>706276.60000000009</v>
      </c>
      <c r="H549" s="87">
        <f>L531</f>
        <v>187020.04</v>
      </c>
      <c r="I549" s="87">
        <f>L536</f>
        <v>25596.3</v>
      </c>
      <c r="J549" s="87">
        <f>L541</f>
        <v>107919.45000000001</v>
      </c>
      <c r="K549" s="87">
        <f>SUM(F549:J549)</f>
        <v>2202869.3200000003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1267919.9099999999</v>
      </c>
      <c r="G550" s="87">
        <f>L527</f>
        <v>474881.02</v>
      </c>
      <c r="H550" s="87">
        <f>L532</f>
        <v>187020.04</v>
      </c>
      <c r="I550" s="87">
        <f>L537</f>
        <v>25596.3</v>
      </c>
      <c r="J550" s="87">
        <f>L542</f>
        <v>55215.44</v>
      </c>
      <c r="K550" s="87">
        <f>SUM(F550:J550)</f>
        <v>2010632.71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702798.56</v>
      </c>
      <c r="G551" s="87">
        <f>L528</f>
        <v>0</v>
      </c>
      <c r="H551" s="87">
        <f>L533</f>
        <v>187020.04</v>
      </c>
      <c r="I551" s="87">
        <f>L538</f>
        <v>25596.3</v>
      </c>
      <c r="J551" s="87">
        <f>L543</f>
        <v>62604.05</v>
      </c>
      <c r="K551" s="87">
        <f>SUM(F551:J551)</f>
        <v>978018.95000000019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3146775.4</v>
      </c>
      <c r="G552" s="89">
        <f t="shared" si="42"/>
        <v>1181157.6200000001</v>
      </c>
      <c r="H552" s="89">
        <f t="shared" si="42"/>
        <v>561060.12</v>
      </c>
      <c r="I552" s="89">
        <f t="shared" si="42"/>
        <v>76788.899999999994</v>
      </c>
      <c r="J552" s="89">
        <f t="shared" si="42"/>
        <v>225738.94</v>
      </c>
      <c r="K552" s="89">
        <f t="shared" si="42"/>
        <v>5191520.9800000004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f>2588528.79+1021346.81</f>
        <v>3609875.6</v>
      </c>
      <c r="I575" s="87">
        <f>SUM(F575:H575)</f>
        <v>3609875.6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1514495.61</v>
      </c>
      <c r="I577" s="87">
        <f t="shared" si="47"/>
        <v>1514495.61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 t="s">
        <v>287</v>
      </c>
      <c r="G579" s="18" t="s">
        <v>287</v>
      </c>
      <c r="H579" s="18">
        <f>475794.97</f>
        <v>475794.97</v>
      </c>
      <c r="I579" s="87">
        <f t="shared" si="47"/>
        <v>475794.97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99148.72</v>
      </c>
      <c r="I581" s="87">
        <f t="shared" si="47"/>
        <v>99148.72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23850</v>
      </c>
      <c r="G582" s="18">
        <v>283826.02</v>
      </c>
      <c r="H582" s="18">
        <v>127854.87</v>
      </c>
      <c r="I582" s="87">
        <f t="shared" si="47"/>
        <v>435530.89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219600</f>
        <v>219600</v>
      </c>
      <c r="I591" s="18">
        <f>219600</f>
        <v>219600</v>
      </c>
      <c r="J591" s="18">
        <f>175680</f>
        <v>175680</v>
      </c>
      <c r="K591" s="104">
        <f t="shared" ref="K591:K597" si="48">SUM(H591:J591)</f>
        <v>614880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55215.48+52703.97</f>
        <v>107919.45000000001</v>
      </c>
      <c r="I592" s="18">
        <f>55215.44</f>
        <v>55215.44</v>
      </c>
      <c r="J592" s="18">
        <f>62604.05</f>
        <v>62604.05</v>
      </c>
      <c r="K592" s="104">
        <f t="shared" si="48"/>
        <v>225738.94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f>6587.1</f>
        <v>6587.1</v>
      </c>
      <c r="J594" s="18"/>
      <c r="K594" s="104">
        <f t="shared" si="48"/>
        <v>6587.1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3961.74+1383.85</f>
        <v>5345.59</v>
      </c>
      <c r="I595" s="18">
        <f>6317.46</f>
        <v>6317.46</v>
      </c>
      <c r="J595" s="18"/>
      <c r="K595" s="104">
        <f t="shared" si="48"/>
        <v>11663.05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525</v>
      </c>
      <c r="I597" s="18"/>
      <c r="J597" s="18"/>
      <c r="K597" s="104">
        <f t="shared" si="48"/>
        <v>525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333390.04000000004</v>
      </c>
      <c r="I598" s="108">
        <f>SUM(I591:I597)</f>
        <v>287720</v>
      </c>
      <c r="J598" s="108">
        <f>SUM(J591:J597)</f>
        <v>238284.05</v>
      </c>
      <c r="K598" s="108">
        <f>SUM(K591:K597)</f>
        <v>859394.09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 t="s">
        <v>287</v>
      </c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1554.11+379+1412.66+84+5174.54+293+293+974+7500+2979.12+29809.16+7063.31+1432.98+99+5219.57+1984.1+8528.3+2326.1+16089.89+1452.31+7494</f>
        <v>102142.15000000001</v>
      </c>
      <c r="I604" s="18">
        <f>1658.64+39.91+4517.84+293+579.91+7500+2979.12+60997.48+751.01+5500+844+12407.1+1452.31+2882.24</f>
        <v>102402.56</v>
      </c>
      <c r="J604" s="18"/>
      <c r="K604" s="104">
        <f>SUM(H604:J604)</f>
        <v>204544.71000000002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102142.15000000001</v>
      </c>
      <c r="I605" s="108">
        <f>SUM(I602:I604)</f>
        <v>102402.56</v>
      </c>
      <c r="J605" s="108">
        <f>SUM(J602:J604)</f>
        <v>0</v>
      </c>
      <c r="K605" s="108">
        <f>SUM(K602:K604)</f>
        <v>204544.71000000002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31474</v>
      </c>
      <c r="G611" s="18">
        <v>2407.7600000000002</v>
      </c>
      <c r="H611" s="18"/>
      <c r="I611" s="18"/>
      <c r="J611" s="18"/>
      <c r="K611" s="18"/>
      <c r="L611" s="88">
        <f>SUM(F611:K611)</f>
        <v>33881.760000000002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31474</v>
      </c>
      <c r="G614" s="108">
        <f t="shared" si="49"/>
        <v>2407.7600000000002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33881.760000000002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2569938.66</v>
      </c>
      <c r="H617" s="109">
        <f>SUM(F52)</f>
        <v>2569488.16</v>
      </c>
      <c r="I617" s="121" t="s">
        <v>891</v>
      </c>
      <c r="J617" s="109">
        <f>G617-H617</f>
        <v>450.5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590055.18000000005</v>
      </c>
      <c r="H619" s="109">
        <f>SUM(H52)</f>
        <v>590055.18000000005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1161749.03</v>
      </c>
      <c r="H621" s="109">
        <f>SUM(J52)</f>
        <v>1161749.03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807299</v>
      </c>
      <c r="H622" s="109">
        <f>F476</f>
        <v>807749.5</v>
      </c>
      <c r="I622" s="121" t="s">
        <v>101</v>
      </c>
      <c r="J622" s="109">
        <f t="shared" ref="J622:J655" si="50">G622-H622</f>
        <v>-450.5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590055.18000000005</v>
      </c>
      <c r="H624" s="109">
        <f>H476</f>
        <v>590055.17999999993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1161749.03</v>
      </c>
      <c r="H626" s="109">
        <f>J476</f>
        <v>1161749.03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19874389.469999999</v>
      </c>
      <c r="H627" s="104">
        <f>SUM(F468)</f>
        <v>19874389.469999999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299508.45</v>
      </c>
      <c r="H628" s="104">
        <f>SUM(G468)</f>
        <v>299508.45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425890.95999999996</v>
      </c>
      <c r="H629" s="104">
        <f>SUM(H468)</f>
        <v>425890.96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450663.87</v>
      </c>
      <c r="H631" s="104">
        <f>SUM(J468)</f>
        <v>450663.87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20259604.645</v>
      </c>
      <c r="H632" s="104">
        <f>SUM(F472)</f>
        <v>20259604.649999999</v>
      </c>
      <c r="I632" s="140" t="s">
        <v>111</v>
      </c>
      <c r="J632" s="109">
        <f t="shared" si="50"/>
        <v>-4.9999989569187164E-3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429171.01</v>
      </c>
      <c r="H633" s="104">
        <f>SUM(H472)</f>
        <v>429171.01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299508.45</v>
      </c>
      <c r="H635" s="104">
        <f>SUM(G472)</f>
        <v>299508.45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450663.87</v>
      </c>
      <c r="H637" s="164">
        <f>SUM(J468)</f>
        <v>450663.87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46977.46</v>
      </c>
      <c r="H638" s="164">
        <f>SUM(J472)</f>
        <v>46977.46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1161749.03</v>
      </c>
      <c r="H639" s="104">
        <f>SUM(F461)</f>
        <v>1161749.03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1161749.03</v>
      </c>
      <c r="H642" s="104">
        <f>SUM(I461)</f>
        <v>1161749.03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663.87</v>
      </c>
      <c r="H644" s="104">
        <f>H408</f>
        <v>663.87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450000</v>
      </c>
      <c r="H645" s="104">
        <f>G408</f>
        <v>450000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450663.87</v>
      </c>
      <c r="H646" s="104">
        <f>L408</f>
        <v>450663.87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859394.09</v>
      </c>
      <c r="H647" s="104">
        <f>L208+L226+L244</f>
        <v>859394.08999999985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204544.71000000002</v>
      </c>
      <c r="H648" s="104">
        <f>(J257+J338)-(J255+J336)</f>
        <v>204544.71000000002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333390.03999999992</v>
      </c>
      <c r="H649" s="104">
        <f>H598</f>
        <v>333390.04000000004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287720</v>
      </c>
      <c r="H650" s="104">
        <f>I598</f>
        <v>287720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238284.05</v>
      </c>
      <c r="H651" s="104">
        <f>J598</f>
        <v>238284.05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6599.04</v>
      </c>
      <c r="H652" s="104">
        <f>K263+K345</f>
        <v>6599.04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450000</v>
      </c>
      <c r="H655" s="104">
        <f>K266+K347</f>
        <v>450000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-5.0000026822090149E-3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7206318.1216666671</v>
      </c>
      <c r="G660" s="19">
        <f>(L229+L309+L359)</f>
        <v>6026019.7666666657</v>
      </c>
      <c r="H660" s="19">
        <f>(L247+L328+L360)</f>
        <v>6311576.2966666669</v>
      </c>
      <c r="I660" s="19">
        <f>SUM(F660:H660)</f>
        <v>19543914.184999999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99144.835000000006</v>
      </c>
      <c r="G661" s="19">
        <f>(L359/IF(SUM(L358:L360)=0,1,SUM(L358:L360))*(SUM(G97:G110)))</f>
        <v>99144.835000000006</v>
      </c>
      <c r="H661" s="19">
        <f>(L360/IF(SUM(L358:L360)=0,1,SUM(L358:L360))*(SUM(G97:G110)))</f>
        <v>0</v>
      </c>
      <c r="I661" s="19">
        <f>SUM(F661:H661)</f>
        <v>198289.67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333390.03999999992</v>
      </c>
      <c r="G662" s="19">
        <f>(L226+L306)-(J226+J306)</f>
        <v>287720</v>
      </c>
      <c r="H662" s="19">
        <f>(L244+L325)-(J244+J325)</f>
        <v>238284.05</v>
      </c>
      <c r="I662" s="19">
        <f>SUM(F662:H662)</f>
        <v>859394.08999999985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159873.91</v>
      </c>
      <c r="G663" s="199">
        <f>SUM(G575:G587)+SUM(I602:I604)+L612</f>
        <v>386228.58</v>
      </c>
      <c r="H663" s="199">
        <f>SUM(H575:H587)+SUM(J602:J604)+L613</f>
        <v>5827169.7699999996</v>
      </c>
      <c r="I663" s="19">
        <f>SUM(F663:H663)</f>
        <v>6373272.2599999998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6613909.3366666669</v>
      </c>
      <c r="G664" s="19">
        <f>G660-SUM(G661:G663)</f>
        <v>5252926.3516666656</v>
      </c>
      <c r="H664" s="19">
        <f>H660-SUM(H661:H663)</f>
        <v>246122.4766666675</v>
      </c>
      <c r="I664" s="19">
        <f>I660-SUM(I661:I663)</f>
        <v>12112958.164999999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518.02</v>
      </c>
      <c r="G665" s="248">
        <v>427.74</v>
      </c>
      <c r="H665" s="248"/>
      <c r="I665" s="19">
        <f>SUM(F665:H665)</f>
        <v>945.76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12767.67</v>
      </c>
      <c r="G667" s="19">
        <f>ROUND(G664/G665,2)</f>
        <v>12280.65</v>
      </c>
      <c r="H667" s="19" t="e">
        <f>ROUND(H664/H665,2)</f>
        <v>#DIV/0!</v>
      </c>
      <c r="I667" s="19">
        <f>ROUND(I664/I665,2)</f>
        <v>12807.64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-246122.48</v>
      </c>
      <c r="I669" s="19">
        <f>SUM(F669:H669)</f>
        <v>-246122.48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12767.67</v>
      </c>
      <c r="G672" s="19">
        <f>ROUND((G664+G669)/(G665+G670),2)</f>
        <v>12280.65</v>
      </c>
      <c r="H672" s="19" t="e">
        <f>ROUND((H664+H669)/(H665+H670),2)</f>
        <v>#DIV/0!</v>
      </c>
      <c r="I672" s="19">
        <f>ROUND((I664+I669)/(I665+I670),2)</f>
        <v>12547.41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zoomScale="150" zoomScaleNormal="150" zoomScalePageLayoutView="150" workbookViewId="0">
      <selection activeCell="C40" sqref="C40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3" t="s">
        <v>785</v>
      </c>
      <c r="B1" s="232" t="str">
        <f>'DOE25'!A2</f>
        <v>Barrington SD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3282672.3</v>
      </c>
      <c r="C9" s="229">
        <f>'DOE25'!G197+'DOE25'!G215+'DOE25'!G233+'DOE25'!G276+'DOE25'!G295+'DOE25'!G314</f>
        <v>1587841.28</v>
      </c>
    </row>
    <row r="10" spans="1:3" x14ac:dyDescent="0.2">
      <c r="A10" t="s">
        <v>779</v>
      </c>
      <c r="B10" s="240">
        <f>1207823.59+263366.43+1323603.86</f>
        <v>2794793.88</v>
      </c>
      <c r="C10" s="240">
        <f>351044.7+103713.59+361287.64+3230.8+12692.87+681367.33</f>
        <v>1513336.9300000002</v>
      </c>
    </row>
    <row r="11" spans="1:3" x14ac:dyDescent="0.2">
      <c r="A11" t="s">
        <v>780</v>
      </c>
      <c r="B11" s="240">
        <f>107805.74+14861.4+66338.67</f>
        <v>189005.81</v>
      </c>
      <c r="C11" s="240">
        <f>24861.4</f>
        <v>24861.4</v>
      </c>
    </row>
    <row r="12" spans="1:3" x14ac:dyDescent="0.2">
      <c r="A12" t="s">
        <v>781</v>
      </c>
      <c r="B12" s="240">
        <f>717.89+129352.01+7570+79475.78+13884.94+36491.17+31380.82</f>
        <v>298872.61</v>
      </c>
      <c r="C12" s="240">
        <v>49642.95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3282672.3</v>
      </c>
      <c r="C13" s="231">
        <f>SUM(C10:C12)</f>
        <v>1587841.28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1472398.33</v>
      </c>
      <c r="C18" s="229">
        <f>'DOE25'!G198+'DOE25'!G216+'DOE25'!G234+'DOE25'!G277+'DOE25'!G296+'DOE25'!G315</f>
        <v>762237.71</v>
      </c>
    </row>
    <row r="19" spans="1:3" x14ac:dyDescent="0.2">
      <c r="A19" t="s">
        <v>779</v>
      </c>
      <c r="B19" s="240">
        <f>168377.15+36650.12+293356.8+189208.39</f>
        <v>687592.46</v>
      </c>
      <c r="C19" s="240">
        <f>191184.6+225433.6</f>
        <v>416618.2</v>
      </c>
    </row>
    <row r="20" spans="1:3" x14ac:dyDescent="0.2">
      <c r="A20" t="s">
        <v>780</v>
      </c>
      <c r="B20" s="240">
        <f>406534.4+48549.72+263268.55</f>
        <v>718352.66999999993</v>
      </c>
      <c r="C20" s="240">
        <f>3252.67+3647.04+691.5+141+645+1245.79+233.7+1370.35+2750.72+43364.03+7550.45+41507.88+887.94+68123.94+9534.68+70470.3+53194.32+31924.53</f>
        <v>340535.83999999997</v>
      </c>
    </row>
    <row r="21" spans="1:3" x14ac:dyDescent="0.2">
      <c r="A21" t="s">
        <v>781</v>
      </c>
      <c r="B21" s="240">
        <f>31474+807+2849.2+708+8993.25+10735.75+8527.5+2358.5</f>
        <v>66453.2</v>
      </c>
      <c r="C21" s="240">
        <v>5083.67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1472398.3299999998</v>
      </c>
      <c r="C22" s="231">
        <f>SUM(C19:C21)</f>
        <v>762237.71000000008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40400</v>
      </c>
      <c r="C36" s="235">
        <f>'DOE25'!G200+'DOE25'!G218+'DOE25'!G236+'DOE25'!G279+'DOE25'!G298+'DOE25'!G317</f>
        <v>7470.1099999999988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40400</v>
      </c>
      <c r="C39" s="240">
        <v>7470.11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40400</v>
      </c>
      <c r="C40" s="231">
        <f>SUM(C37:C39)</f>
        <v>7470.11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/>
  <headerFooter alignWithMargins="0">
    <oddHeader>&amp;C&amp;A
FY2013-2014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zoomScale="150" zoomScaleNormal="150" zoomScalePageLayoutView="150" workbookViewId="0">
      <pane ySplit="4" topLeftCell="A5" activePane="bottomLeft" state="frozen"/>
      <selection activeCell="F46" sqref="F46"/>
      <selection pane="bottomLeft" activeCell="D12" sqref="D12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Barrington SD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13246342.330000002</v>
      </c>
      <c r="D5" s="20">
        <f>SUM('DOE25'!L197:L200)+SUM('DOE25'!L215:L218)+SUM('DOE25'!L233:L236)-F5-G5</f>
        <v>13227005.300000003</v>
      </c>
      <c r="E5" s="243"/>
      <c r="F5" s="255">
        <f>SUM('DOE25'!J197:J200)+SUM('DOE25'!J215:J218)+SUM('DOE25'!J233:J236)</f>
        <v>15664.7</v>
      </c>
      <c r="G5" s="53">
        <f>SUM('DOE25'!K197:K200)+SUM('DOE25'!K215:K218)+SUM('DOE25'!K233:K236)</f>
        <v>3672.33</v>
      </c>
      <c r="H5" s="259"/>
    </row>
    <row r="6" spans="1:9" x14ac:dyDescent="0.2">
      <c r="A6" s="32">
        <v>2100</v>
      </c>
      <c r="B6" t="s">
        <v>801</v>
      </c>
      <c r="C6" s="245">
        <f t="shared" si="0"/>
        <v>1190115.165</v>
      </c>
      <c r="D6" s="20">
        <f>'DOE25'!L202+'DOE25'!L220+'DOE25'!L238-F6-G6</f>
        <v>1180278.6200000001</v>
      </c>
      <c r="E6" s="243"/>
      <c r="F6" s="255">
        <f>'DOE25'!J202+'DOE25'!J220+'DOE25'!J238</f>
        <v>879</v>
      </c>
      <c r="G6" s="53">
        <f>'DOE25'!K202+'DOE25'!K220+'DOE25'!K238</f>
        <v>8957.5450000000001</v>
      </c>
      <c r="H6" s="259"/>
    </row>
    <row r="7" spans="1:9" x14ac:dyDescent="0.2">
      <c r="A7" s="32">
        <v>2200</v>
      </c>
      <c r="B7" t="s">
        <v>834</v>
      </c>
      <c r="C7" s="245">
        <f t="shared" si="0"/>
        <v>711038.09000000008</v>
      </c>
      <c r="D7" s="20">
        <f>'DOE25'!L203+'DOE25'!L221+'DOE25'!L239-F7-G7</f>
        <v>555689.16</v>
      </c>
      <c r="E7" s="243"/>
      <c r="F7" s="255">
        <f>'DOE25'!J203+'DOE25'!J221+'DOE25'!J239</f>
        <v>135368.76</v>
      </c>
      <c r="G7" s="53">
        <f>'DOE25'!K203+'DOE25'!K221+'DOE25'!K239</f>
        <v>19980.169999999998</v>
      </c>
      <c r="H7" s="259"/>
    </row>
    <row r="8" spans="1:9" x14ac:dyDescent="0.2">
      <c r="A8" s="32">
        <v>2300</v>
      </c>
      <c r="B8" t="s">
        <v>802</v>
      </c>
      <c r="C8" s="245">
        <f t="shared" si="0"/>
        <v>98098.2</v>
      </c>
      <c r="D8" s="243"/>
      <c r="E8" s="20">
        <f>'DOE25'!L204+'DOE25'!L222+'DOE25'!L240-F8-G8-D9-D11</f>
        <v>86532.82</v>
      </c>
      <c r="F8" s="255">
        <f>'DOE25'!J204+'DOE25'!J222+'DOE25'!J240</f>
        <v>2904.62</v>
      </c>
      <c r="G8" s="53">
        <f>'DOE25'!K204+'DOE25'!K222+'DOE25'!K240</f>
        <v>8660.76</v>
      </c>
      <c r="H8" s="259"/>
    </row>
    <row r="9" spans="1:9" x14ac:dyDescent="0.2">
      <c r="A9" s="32">
        <v>2310</v>
      </c>
      <c r="B9" t="s">
        <v>818</v>
      </c>
      <c r="C9" s="245">
        <f t="shared" si="0"/>
        <v>115327.70000000001</v>
      </c>
      <c r="D9" s="244">
        <f>97682.27+17645.43</f>
        <v>115327.70000000001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10300</v>
      </c>
      <c r="D10" s="243"/>
      <c r="E10" s="244">
        <v>10300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356294.98</v>
      </c>
      <c r="D11" s="244">
        <f>113714.7+82404.9+69438.24+90737.14</f>
        <v>356294.98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867318.45000000007</v>
      </c>
      <c r="D12" s="20">
        <f>'DOE25'!L205+'DOE25'!L223+'DOE25'!L241-F12-G12</f>
        <v>842574.95000000007</v>
      </c>
      <c r="E12" s="243"/>
      <c r="F12" s="255">
        <f>'DOE25'!J205+'DOE25'!J223+'DOE25'!J241</f>
        <v>23261.5</v>
      </c>
      <c r="G12" s="53">
        <f>'DOE25'!K205+'DOE25'!K223+'DOE25'!K241</f>
        <v>1482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168646.55000000002</v>
      </c>
      <c r="D13" s="243"/>
      <c r="E13" s="20">
        <f>'DOE25'!L206+'DOE25'!L224+'DOE25'!L242-F13-G13</f>
        <v>168646.55000000002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1204417.5499999998</v>
      </c>
      <c r="D14" s="20">
        <f>'DOE25'!L207+'DOE25'!L225+'DOE25'!L243-F14-G14</f>
        <v>1185445.42</v>
      </c>
      <c r="E14" s="243"/>
      <c r="F14" s="255">
        <f>'DOE25'!J207+'DOE25'!J225+'DOE25'!J243</f>
        <v>18972.129999999997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859394.08999999985</v>
      </c>
      <c r="D15" s="20">
        <f>'DOE25'!L208+'DOE25'!L226+'DOE25'!L244-F15-G15</f>
        <v>859394.08999999985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986012.5</v>
      </c>
      <c r="D25" s="243"/>
      <c r="E25" s="243"/>
      <c r="F25" s="258"/>
      <c r="G25" s="256"/>
      <c r="H25" s="257">
        <f>'DOE25'!L260+'DOE25'!L261+'DOE25'!L341+'DOE25'!L342</f>
        <v>986012.5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299508.45</v>
      </c>
      <c r="D29" s="20">
        <f>'DOE25'!L358+'DOE25'!L359+'DOE25'!L360-'DOE25'!I367-F29-G29</f>
        <v>298584.07</v>
      </c>
      <c r="E29" s="243"/>
      <c r="F29" s="255">
        <f>'DOE25'!J358+'DOE25'!J359+'DOE25'!J360</f>
        <v>0</v>
      </c>
      <c r="G29" s="53">
        <f>'DOE25'!K358+'DOE25'!K359+'DOE25'!K360</f>
        <v>924.38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427412.63</v>
      </c>
      <c r="D31" s="20">
        <f>'DOE25'!L290+'DOE25'!L309+'DOE25'!L328+'DOE25'!L333+'DOE25'!L334+'DOE25'!L335-F31-G31</f>
        <v>419868.63</v>
      </c>
      <c r="E31" s="243"/>
      <c r="F31" s="255">
        <f>'DOE25'!J290+'DOE25'!J309+'DOE25'!J328+'DOE25'!J333+'DOE25'!J334+'DOE25'!J335</f>
        <v>7494</v>
      </c>
      <c r="G31" s="53">
        <f>'DOE25'!K290+'DOE25'!K309+'DOE25'!K328+'DOE25'!K333+'DOE25'!K334+'DOE25'!K335</f>
        <v>50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19040462.920000002</v>
      </c>
      <c r="E33" s="246">
        <f>SUM(E5:E31)</f>
        <v>265479.37</v>
      </c>
      <c r="F33" s="246">
        <f>SUM(F5:F31)</f>
        <v>204544.71000000002</v>
      </c>
      <c r="G33" s="246">
        <f>SUM(G5:G31)</f>
        <v>43727.184999999998</v>
      </c>
      <c r="H33" s="246">
        <f>SUM(H5:H31)</f>
        <v>986012.5</v>
      </c>
    </row>
    <row r="35" spans="2:8" ht="12" thickBot="1" x14ac:dyDescent="0.25">
      <c r="B35" s="253" t="s">
        <v>847</v>
      </c>
      <c r="D35" s="254">
        <f>E33</f>
        <v>265479.37</v>
      </c>
      <c r="E35" s="249"/>
    </row>
    <row r="36" spans="2:8" ht="12" thickTop="1" x14ac:dyDescent="0.2">
      <c r="B36" t="s">
        <v>815</v>
      </c>
      <c r="D36" s="20">
        <f>D33</f>
        <v>19040462.920000002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zoomScalePageLayoutView="80" workbookViewId="0">
      <pane ySplit="2" topLeftCell="A3" activePane="bottomLeft" state="frozen"/>
      <selection activeCell="F46" sqref="F46"/>
      <selection pane="bottomLeft" activeCell="C45" sqref="C45"/>
    </sheetView>
  </sheetViews>
  <sheetFormatPr defaultColWidth="9" defaultRowHeight="11.25" x14ac:dyDescent="0.2"/>
  <cols>
    <col min="1" max="1" width="52.832031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Barrington SD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2307268.9300000002</v>
      </c>
      <c r="D8" s="95">
        <f>'DOE25'!G9</f>
        <v>0</v>
      </c>
      <c r="E8" s="95">
        <f>'DOE25'!H9</f>
        <v>590055.18000000005</v>
      </c>
      <c r="F8" s="95" t="str">
        <f>'DOE25'!I9</f>
        <v xml:space="preserve"> 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6964.31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1161749.03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16391.03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239314.39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2569938.66</v>
      </c>
      <c r="D18" s="41">
        <f>SUM(D8:D17)</f>
        <v>0</v>
      </c>
      <c r="E18" s="41">
        <f>SUM(E8:E17)</f>
        <v>590055.18000000005</v>
      </c>
      <c r="F18" s="41">
        <f>SUM(F8:F17)</f>
        <v>0</v>
      </c>
      <c r="G18" s="41">
        <f>SUM(G8:G17)</f>
        <v>1161749.03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83863.360000000001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1298300.3500000001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380025.45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1762189.1600000001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370910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590055.18000000005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1161749.03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286389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807299</v>
      </c>
      <c r="D50" s="41">
        <f>SUM(D34:D49)</f>
        <v>0</v>
      </c>
      <c r="E50" s="41">
        <f>SUM(E34:E49)</f>
        <v>590055.18000000005</v>
      </c>
      <c r="F50" s="41">
        <f>SUM(F34:F49)</f>
        <v>0</v>
      </c>
      <c r="G50" s="41">
        <f>SUM(G34:G49)</f>
        <v>1161749.03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2569488.16</v>
      </c>
      <c r="D51" s="41">
        <f>D50+D31</f>
        <v>0</v>
      </c>
      <c r="E51" s="41">
        <f>E50+E31</f>
        <v>590055.18000000005</v>
      </c>
      <c r="F51" s="41">
        <f>F50+F31</f>
        <v>0</v>
      </c>
      <c r="G51" s="41">
        <f>G50+G31</f>
        <v>1161749.03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12818651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118946.59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663.87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198289.67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115534.81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234481.4</v>
      </c>
      <c r="D62" s="130">
        <f>SUM(D57:D61)</f>
        <v>198289.67</v>
      </c>
      <c r="E62" s="130">
        <f>SUM(E57:E61)</f>
        <v>0</v>
      </c>
      <c r="F62" s="130">
        <f>SUM(F57:F61)</f>
        <v>0</v>
      </c>
      <c r="G62" s="130">
        <f>SUM(G57:G61)</f>
        <v>663.87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13053132.4</v>
      </c>
      <c r="D63" s="22">
        <f>D56+D62</f>
        <v>198289.67</v>
      </c>
      <c r="E63" s="22">
        <f>E56+E62</f>
        <v>0</v>
      </c>
      <c r="F63" s="22">
        <f>F56+F62</f>
        <v>0</v>
      </c>
      <c r="G63" s="22">
        <f>G56+G62</f>
        <v>663.87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4135347.79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2017784.95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1881.98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6155014.7200000007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231529.28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179712.94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4076.08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411242.22</v>
      </c>
      <c r="D78" s="130">
        <f>SUM(D72:D77)</f>
        <v>4076.08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6566256.9400000004</v>
      </c>
      <c r="D81" s="130">
        <f>SUM(D79:D80)+D78+D70</f>
        <v>4076.08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255000.13</v>
      </c>
      <c r="D88" s="95">
        <f>SUM('DOE25'!G153:G161)</f>
        <v>90543.66</v>
      </c>
      <c r="E88" s="95">
        <f>SUM('DOE25'!H153:H161)</f>
        <v>425890.95999999996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255000.13</v>
      </c>
      <c r="D91" s="131">
        <f>SUM(D85:D90)</f>
        <v>90543.66</v>
      </c>
      <c r="E91" s="131">
        <f>SUM(E85:E90)</f>
        <v>425890.95999999996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6599.04</v>
      </c>
      <c r="E96" s="95">
        <f>'DOE25'!H179</f>
        <v>0</v>
      </c>
      <c r="F96" s="95">
        <f>'DOE25'!I179</f>
        <v>0</v>
      </c>
      <c r="G96" s="95">
        <f>'DOE25'!J179</f>
        <v>450000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6599.04</v>
      </c>
      <c r="E103" s="86">
        <f>SUM(E93:E102)</f>
        <v>0</v>
      </c>
      <c r="F103" s="86">
        <f>SUM(F93:F102)</f>
        <v>0</v>
      </c>
      <c r="G103" s="86">
        <f>SUM(G93:G102)</f>
        <v>450000</v>
      </c>
    </row>
    <row r="104" spans="1:7" ht="12.75" thickTop="1" thickBot="1" x14ac:dyDescent="0.25">
      <c r="A104" s="33" t="s">
        <v>765</v>
      </c>
      <c r="C104" s="86">
        <f>C63+C81+C91+C103</f>
        <v>19874389.469999999</v>
      </c>
      <c r="D104" s="86">
        <f>D63+D81+D91+D103</f>
        <v>299508.45</v>
      </c>
      <c r="E104" s="86">
        <f>E63+E81+E91+E103</f>
        <v>425890.95999999996</v>
      </c>
      <c r="F104" s="86">
        <f>F63+F81+F91+F103</f>
        <v>0</v>
      </c>
      <c r="G104" s="86">
        <f>G63+G81+G103</f>
        <v>450663.87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10041025.15</v>
      </c>
      <c r="D109" s="24" t="s">
        <v>289</v>
      </c>
      <c r="E109" s="95">
        <f>('DOE25'!L276)+('DOE25'!L295)+('DOE25'!L314)</f>
        <v>165703.07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3146775.4</v>
      </c>
      <c r="D110" s="24" t="s">
        <v>289</v>
      </c>
      <c r="E110" s="95">
        <f>('DOE25'!L277)+('DOE25'!L296)+('DOE25'!L315)</f>
        <v>241630.41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58541.780000000006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13246342.33</v>
      </c>
      <c r="D115" s="86">
        <f>SUM(D109:D114)</f>
        <v>0</v>
      </c>
      <c r="E115" s="86">
        <f>SUM(E109:E114)</f>
        <v>407333.48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1190115.165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711038.09000000008</v>
      </c>
      <c r="D119" s="24" t="s">
        <v>289</v>
      </c>
      <c r="E119" s="95">
        <f>+('DOE25'!L282)+('DOE25'!L301)+('DOE25'!L320)</f>
        <v>20079.150000000001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569720.88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867318.45000000007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168646.55000000002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1204417.5499999998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859394.08999999985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299508.45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5570650.7750000004</v>
      </c>
      <c r="D128" s="86">
        <f>SUM(D118:D127)</f>
        <v>299508.45</v>
      </c>
      <c r="E128" s="86">
        <f>SUM(E118:E127)</f>
        <v>20079.150000000001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710000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276012.5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1758.3799999999999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6599.04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450663.87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-663.86999999999534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1442611.54</v>
      </c>
      <c r="D144" s="141">
        <f>SUM(D130:D143)</f>
        <v>0</v>
      </c>
      <c r="E144" s="141">
        <f>SUM(E130:E143)</f>
        <v>1758.3799999999999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20259604.645</v>
      </c>
      <c r="D145" s="86">
        <f>(D115+D128+D144)</f>
        <v>299508.45</v>
      </c>
      <c r="E145" s="86">
        <f>(E115+E128+E144)</f>
        <v>429171.01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12/02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10/22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14144129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5680000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5680000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710000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710000</v>
      </c>
    </row>
    <row r="159" spans="1:9" x14ac:dyDescent="0.2">
      <c r="A159" s="22" t="s">
        <v>35</v>
      </c>
      <c r="B159" s="137">
        <f>'DOE25'!F498</f>
        <v>4970000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4970000</v>
      </c>
    </row>
    <row r="160" spans="1:9" x14ac:dyDescent="0.2">
      <c r="A160" s="22" t="s">
        <v>36</v>
      </c>
      <c r="B160" s="137">
        <f>'DOE25'!F499</f>
        <v>1069615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1069615</v>
      </c>
    </row>
    <row r="161" spans="1:7" x14ac:dyDescent="0.2">
      <c r="A161" s="22" t="s">
        <v>37</v>
      </c>
      <c r="B161" s="137">
        <f>'DOE25'!F500</f>
        <v>6039615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6039615</v>
      </c>
    </row>
    <row r="162" spans="1:7" x14ac:dyDescent="0.2">
      <c r="A162" s="22" t="s">
        <v>38</v>
      </c>
      <c r="B162" s="137">
        <f>'DOE25'!F501</f>
        <v>710000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710000</v>
      </c>
    </row>
    <row r="163" spans="1:7" x14ac:dyDescent="0.2">
      <c r="A163" s="22" t="s">
        <v>39</v>
      </c>
      <c r="B163" s="137">
        <f>'DOE25'!F502</f>
        <v>246015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246015</v>
      </c>
    </row>
    <row r="164" spans="1:7" x14ac:dyDescent="0.2">
      <c r="A164" s="22" t="s">
        <v>246</v>
      </c>
      <c r="B164" s="137">
        <f>'DOE25'!F503</f>
        <v>956015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956015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Barrington SD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12768</v>
      </c>
    </row>
    <row r="5" spans="1:4" x14ac:dyDescent="0.2">
      <c r="B5" t="s">
        <v>704</v>
      </c>
      <c r="C5" s="179">
        <f>IF('DOE25'!G665+'DOE25'!G670=0,0,ROUND('DOE25'!G672,0))</f>
        <v>12281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12547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10206728</v>
      </c>
      <c r="D10" s="182">
        <f>ROUND((C10/$C$28)*100,1)</f>
        <v>52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3388406</v>
      </c>
      <c r="D11" s="182">
        <f>ROUND((C11/$C$28)*100,1)</f>
        <v>17.3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58542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1190115</v>
      </c>
      <c r="D15" s="182">
        <f t="shared" ref="D15:D27" si="0">ROUND((C15/$C$28)*100,1)</f>
        <v>6.1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731117</v>
      </c>
      <c r="D16" s="182">
        <f t="shared" si="0"/>
        <v>3.7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569721</v>
      </c>
      <c r="D17" s="182">
        <f t="shared" si="0"/>
        <v>2.9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867318</v>
      </c>
      <c r="D18" s="182">
        <f t="shared" si="0"/>
        <v>4.4000000000000004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168647</v>
      </c>
      <c r="D19" s="182">
        <f t="shared" si="0"/>
        <v>0.9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1204418</v>
      </c>
      <c r="D20" s="182">
        <f t="shared" si="0"/>
        <v>6.1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859394</v>
      </c>
      <c r="D21" s="182">
        <f t="shared" si="0"/>
        <v>4.4000000000000004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276013</v>
      </c>
      <c r="D25" s="182">
        <f t="shared" si="0"/>
        <v>1.4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101218.32999999999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19621637.329999998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19621637.329999998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710000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12818651</v>
      </c>
      <c r="D35" s="182">
        <f t="shared" ref="D35:D40" si="1">ROUND((C35/$C$41)*100,1)</f>
        <v>62.9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235145.26999999955</v>
      </c>
      <c r="D36" s="182">
        <f t="shared" si="1"/>
        <v>1.2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6153133</v>
      </c>
      <c r="D37" s="182">
        <f t="shared" si="1"/>
        <v>30.2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417200</v>
      </c>
      <c r="D38" s="182">
        <f t="shared" si="1"/>
        <v>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771435</v>
      </c>
      <c r="D39" s="182">
        <f t="shared" si="1"/>
        <v>3.8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20395564.27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/>
  <headerFooter alignWithMargins="0">
    <oddHeader>&amp;A</oddHeader>
    <oddFooter>Page &amp;P</oddFooter>
  </headerFooter>
  <ignoredErrors>
    <ignoredError sqref="D10:D28" evalErro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Barrington SD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/>
  <headerFooter alignWithMargins="0">
    <oddHeader>&amp;LDistrict Notes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2015-12-21T16:35:30Z</cp:lastPrinted>
  <dcterms:created xsi:type="dcterms:W3CDTF">1997-12-04T19:04:30Z</dcterms:created>
  <dcterms:modified xsi:type="dcterms:W3CDTF">2015-12-21T16:35:38Z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