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20" i="12"/>
  <c r="C22" i="12" s="1"/>
  <c r="C19" i="12"/>
  <c r="C10" i="12"/>
  <c r="C11" i="12"/>
  <c r="H591" i="1"/>
  <c r="F472" i="1"/>
  <c r="G208" i="1"/>
  <c r="G207" i="1"/>
  <c r="G205" i="1"/>
  <c r="G202" i="1"/>
  <c r="L202" i="1" s="1"/>
  <c r="G198" i="1"/>
  <c r="G197" i="1"/>
  <c r="G211" i="1" s="1"/>
  <c r="G257" i="1" s="1"/>
  <c r="G271" i="1" s="1"/>
  <c r="F17" i="1"/>
  <c r="C16" i="2"/>
  <c r="H526" i="1"/>
  <c r="G526" i="1"/>
  <c r="F526" i="1"/>
  <c r="H358" i="1"/>
  <c r="F28" i="1"/>
  <c r="F9" i="1"/>
  <c r="C45" i="2"/>
  <c r="G51" i="1"/>
  <c r="G623" i="1" s="1"/>
  <c r="C37" i="10"/>
  <c r="F40" i="2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E16" i="13"/>
  <c r="C16" i="13" s="1"/>
  <c r="L227" i="1"/>
  <c r="L245" i="1"/>
  <c r="F5" i="13"/>
  <c r="G5" i="13"/>
  <c r="L197" i="1"/>
  <c r="L198" i="1"/>
  <c r="C11" i="10"/>
  <c r="L199" i="1"/>
  <c r="L200" i="1"/>
  <c r="L215" i="1"/>
  <c r="L216" i="1"/>
  <c r="L217" i="1"/>
  <c r="L218" i="1"/>
  <c r="C112" i="2" s="1"/>
  <c r="L233" i="1"/>
  <c r="L234" i="1"/>
  <c r="L235" i="1"/>
  <c r="L236" i="1"/>
  <c r="F6" i="13"/>
  <c r="G6" i="13"/>
  <c r="L220" i="1"/>
  <c r="L238" i="1"/>
  <c r="F7" i="13"/>
  <c r="G7" i="13"/>
  <c r="L203" i="1"/>
  <c r="C119" i="2" s="1"/>
  <c r="L221" i="1"/>
  <c r="L239" i="1"/>
  <c r="F12" i="13"/>
  <c r="G12" i="13"/>
  <c r="L205" i="1"/>
  <c r="C18" i="10"/>
  <c r="L223" i="1"/>
  <c r="C121" i="2" s="1"/>
  <c r="L241" i="1"/>
  <c r="F14" i="13"/>
  <c r="G14" i="13"/>
  <c r="L207" i="1"/>
  <c r="C123" i="2" s="1"/>
  <c r="L225" i="1"/>
  <c r="L243" i="1"/>
  <c r="F15" i="13"/>
  <c r="G15" i="13"/>
  <c r="L226" i="1"/>
  <c r="L244" i="1"/>
  <c r="F17" i="13"/>
  <c r="G17" i="13"/>
  <c r="L251" i="1"/>
  <c r="F18" i="13"/>
  <c r="G18" i="13"/>
  <c r="L252" i="1"/>
  <c r="F19" i="13"/>
  <c r="D19" i="13" s="1"/>
  <c r="C19" i="13" s="1"/>
  <c r="G19" i="13"/>
  <c r="L253" i="1"/>
  <c r="F29" i="13"/>
  <c r="G29" i="13"/>
  <c r="L358" i="1"/>
  <c r="D127" i="2" s="1"/>
  <c r="D128" i="2" s="1"/>
  <c r="L359" i="1"/>
  <c r="L360" i="1"/>
  <c r="I367" i="1"/>
  <c r="J290" i="1"/>
  <c r="F31" i="13" s="1"/>
  <c r="J309" i="1"/>
  <c r="J328" i="1"/>
  <c r="K290" i="1"/>
  <c r="K309" i="1"/>
  <c r="K328" i="1"/>
  <c r="L276" i="1"/>
  <c r="C10" i="10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E119" i="2" s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A22" i="12" s="1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7" i="1" s="1"/>
  <c r="C140" i="2" s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/>
  <c r="C40" i="10"/>
  <c r="F60" i="1"/>
  <c r="C56" i="2" s="1"/>
  <c r="G60" i="1"/>
  <c r="G112" i="1" s="1"/>
  <c r="H60" i="1"/>
  <c r="I60" i="1"/>
  <c r="I112" i="1" s="1"/>
  <c r="F79" i="1"/>
  <c r="F94" i="1"/>
  <c r="F111" i="1"/>
  <c r="G111" i="1"/>
  <c r="H79" i="1"/>
  <c r="H94" i="1"/>
  <c r="E58" i="2" s="1"/>
  <c r="H111" i="1"/>
  <c r="I111" i="1"/>
  <c r="J111" i="1"/>
  <c r="J112" i="1" s="1"/>
  <c r="F121" i="1"/>
  <c r="F136" i="1"/>
  <c r="G121" i="1"/>
  <c r="G140" i="1" s="1"/>
  <c r="G136" i="1"/>
  <c r="H121" i="1"/>
  <c r="H136" i="1"/>
  <c r="I121" i="1"/>
  <c r="I140" i="1" s="1"/>
  <c r="I136" i="1"/>
  <c r="J121" i="1"/>
  <c r="J136" i="1"/>
  <c r="F147" i="1"/>
  <c r="F162" i="1"/>
  <c r="G147" i="1"/>
  <c r="G162" i="1"/>
  <c r="G169" i="1"/>
  <c r="H147" i="1"/>
  <c r="H162" i="1"/>
  <c r="I147" i="1"/>
  <c r="I162" i="1"/>
  <c r="I169" i="1" s="1"/>
  <c r="C13" i="10"/>
  <c r="L250" i="1"/>
  <c r="L332" i="1"/>
  <c r="L254" i="1"/>
  <c r="L268" i="1"/>
  <c r="C26" i="10" s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L522" i="1"/>
  <c r="F550" i="1" s="1"/>
  <c r="L523" i="1"/>
  <c r="F551" i="1" s="1"/>
  <c r="L527" i="1"/>
  <c r="G550" i="1" s="1"/>
  <c r="L528" i="1"/>
  <c r="G551" i="1" s="1"/>
  <c r="L531" i="1"/>
  <c r="H549" i="1" s="1"/>
  <c r="H552" i="1"/>
  <c r="L532" i="1"/>
  <c r="H550" i="1" s="1"/>
  <c r="L533" i="1"/>
  <c r="H551" i="1"/>
  <c r="L536" i="1"/>
  <c r="I549" i="1" s="1"/>
  <c r="I552" i="1" s="1"/>
  <c r="L537" i="1"/>
  <c r="I550" i="1"/>
  <c r="L538" i="1"/>
  <c r="I551" i="1" s="1"/>
  <c r="L541" i="1"/>
  <c r="J549" i="1"/>
  <c r="L542" i="1"/>
  <c r="J550" i="1" s="1"/>
  <c r="L543" i="1"/>
  <c r="J551" i="1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 s="1"/>
  <c r="G12" i="2"/>
  <c r="C13" i="2"/>
  <c r="D13" i="2"/>
  <c r="E13" i="2"/>
  <c r="F13" i="2"/>
  <c r="I443" i="1"/>
  <c r="J14" i="1" s="1"/>
  <c r="G13" i="2" s="1"/>
  <c r="F14" i="2"/>
  <c r="C15" i="2"/>
  <c r="D15" i="2"/>
  <c r="E15" i="2"/>
  <c r="F15" i="2"/>
  <c r="D16" i="2"/>
  <c r="E16" i="2"/>
  <c r="F16" i="2"/>
  <c r="I444" i="1"/>
  <c r="C17" i="2"/>
  <c r="D17" i="2"/>
  <c r="E17" i="2"/>
  <c r="F17" i="2"/>
  <c r="I445" i="1"/>
  <c r="J18" i="1" s="1"/>
  <c r="G17" i="2"/>
  <c r="C21" i="2"/>
  <c r="D21" i="2"/>
  <c r="E21" i="2"/>
  <c r="F21" i="2"/>
  <c r="F31" i="2" s="1"/>
  <c r="I448" i="1"/>
  <c r="J22" i="1" s="1"/>
  <c r="G21" i="2" s="1"/>
  <c r="C22" i="2"/>
  <c r="D22" i="2"/>
  <c r="E22" i="2"/>
  <c r="F22" i="2"/>
  <c r="I449" i="1"/>
  <c r="J23" i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C34" i="2"/>
  <c r="D34" i="2"/>
  <c r="E34" i="2"/>
  <c r="E50" i="2" s="1"/>
  <c r="F34" i="2"/>
  <c r="C35" i="2"/>
  <c r="D35" i="2"/>
  <c r="E35" i="2"/>
  <c r="F35" i="2"/>
  <c r="I454" i="1"/>
  <c r="J49" i="1"/>
  <c r="G48" i="2" s="1"/>
  <c r="I456" i="1"/>
  <c r="J43" i="1"/>
  <c r="I457" i="1"/>
  <c r="I459" i="1"/>
  <c r="J48" i="1"/>
  <c r="G47" i="2"/>
  <c r="D56" i="2"/>
  <c r="E56" i="2"/>
  <c r="F56" i="2"/>
  <c r="C57" i="2"/>
  <c r="E57" i="2"/>
  <c r="C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70" i="2" s="1"/>
  <c r="C69" i="2"/>
  <c r="D69" i="2"/>
  <c r="D70" i="2" s="1"/>
  <c r="E69" i="2"/>
  <c r="E70" i="2"/>
  <c r="F69" i="2"/>
  <c r="F70" i="2" s="1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D81" i="2"/>
  <c r="E77" i="2"/>
  <c r="F77" i="2"/>
  <c r="G77" i="2"/>
  <c r="G78" i="2"/>
  <c r="G81" i="2" s="1"/>
  <c r="C79" i="2"/>
  <c r="D79" i="2"/>
  <c r="E79" i="2"/>
  <c r="E81" i="2" s="1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D91" i="2" s="1"/>
  <c r="D104" i="2" s="1"/>
  <c r="E89" i="2"/>
  <c r="F89" i="2"/>
  <c r="C90" i="2"/>
  <c r="C93" i="2"/>
  <c r="F93" i="2"/>
  <c r="C94" i="2"/>
  <c r="F94" i="2"/>
  <c r="D96" i="2"/>
  <c r="D103" i="2" s="1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1" i="2"/>
  <c r="E112" i="2"/>
  <c r="E113" i="2"/>
  <c r="D115" i="2"/>
  <c r="F115" i="2"/>
  <c r="G115" i="2"/>
  <c r="E121" i="2"/>
  <c r="C122" i="2"/>
  <c r="E122" i="2"/>
  <c r="E123" i="2"/>
  <c r="C125" i="2"/>
  <c r="E125" i="2"/>
  <c r="F128" i="2"/>
  <c r="G128" i="2"/>
  <c r="C130" i="2"/>
  <c r="E130" i="2"/>
  <c r="D134" i="2"/>
  <c r="D144" i="2" s="1"/>
  <c r="D145" i="2" s="1"/>
  <c r="E134" i="2"/>
  <c r="F134" i="2"/>
  <c r="K419" i="1"/>
  <c r="K434" i="1" s="1"/>
  <c r="G134" i="2" s="1"/>
  <c r="G144" i="2" s="1"/>
  <c r="G145" i="2" s="1"/>
  <c r="K427" i="1"/>
  <c r="K433" i="1"/>
  <c r="L263" i="1"/>
  <c r="C135" i="2" s="1"/>
  <c r="L264" i="1"/>
  <c r="C136" i="2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G158" i="2" s="1"/>
  <c r="D158" i="2"/>
  <c r="E158" i="2"/>
  <c r="F158" i="2"/>
  <c r="B159" i="2"/>
  <c r="C159" i="2"/>
  <c r="D159" i="2"/>
  <c r="E159" i="2"/>
  <c r="F159" i="2"/>
  <c r="B160" i="2"/>
  <c r="C160" i="2"/>
  <c r="D160" i="2"/>
  <c r="E160" i="2"/>
  <c r="G160" i="2" s="1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G163" i="2" s="1"/>
  <c r="F163" i="2"/>
  <c r="F503" i="1"/>
  <c r="B164" i="2" s="1"/>
  <c r="G503" i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G32" i="1"/>
  <c r="H32" i="1"/>
  <c r="I32" i="1"/>
  <c r="G52" i="1"/>
  <c r="H618" i="1" s="1"/>
  <c r="H51" i="1"/>
  <c r="I51" i="1"/>
  <c r="F177" i="1"/>
  <c r="I177" i="1"/>
  <c r="F183" i="1"/>
  <c r="F192" i="1" s="1"/>
  <c r="G183" i="1"/>
  <c r="G192" i="1"/>
  <c r="H183" i="1"/>
  <c r="I183" i="1"/>
  <c r="J183" i="1"/>
  <c r="J192" i="1"/>
  <c r="F188" i="1"/>
  <c r="G188" i="1"/>
  <c r="H188" i="1"/>
  <c r="I188" i="1"/>
  <c r="F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H338" i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F434" i="1" s="1"/>
  <c r="G427" i="1"/>
  <c r="H427" i="1"/>
  <c r="I427" i="1"/>
  <c r="J427" i="1"/>
  <c r="J434" i="1" s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H446" i="1"/>
  <c r="G641" i="1" s="1"/>
  <c r="F452" i="1"/>
  <c r="G452" i="1"/>
  <c r="H452" i="1"/>
  <c r="H461" i="1" s="1"/>
  <c r="H641" i="1" s="1"/>
  <c r="F460" i="1"/>
  <c r="G460" i="1"/>
  <c r="H460" i="1"/>
  <c r="F461" i="1"/>
  <c r="G461" i="1"/>
  <c r="H640" i="1" s="1"/>
  <c r="J640" i="1" s="1"/>
  <c r="F470" i="1"/>
  <c r="F476" i="1" s="1"/>
  <c r="H622" i="1" s="1"/>
  <c r="G470" i="1"/>
  <c r="H470" i="1"/>
  <c r="I470" i="1"/>
  <c r="I476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G529" i="1"/>
  <c r="H529" i="1"/>
  <c r="I529" i="1"/>
  <c r="J529" i="1"/>
  <c r="K529" i="1"/>
  <c r="K545" i="1" s="1"/>
  <c r="F534" i="1"/>
  <c r="G534" i="1"/>
  <c r="H534" i="1"/>
  <c r="H545" i="1" s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L560" i="1" s="1"/>
  <c r="F560" i="1"/>
  <c r="G560" i="1"/>
  <c r="H560" i="1"/>
  <c r="I560" i="1"/>
  <c r="I571" i="1" s="1"/>
  <c r="J560" i="1"/>
  <c r="K560" i="1"/>
  <c r="L562" i="1"/>
  <c r="L563" i="1"/>
  <c r="L565" i="1" s="1"/>
  <c r="L564" i="1"/>
  <c r="F565" i="1"/>
  <c r="G565" i="1"/>
  <c r="H565" i="1"/>
  <c r="H571" i="1" s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2" i="1"/>
  <c r="K593" i="1"/>
  <c r="K594" i="1"/>
  <c r="K595" i="1"/>
  <c r="K596" i="1"/>
  <c r="K597" i="1"/>
  <c r="I598" i="1"/>
  <c r="H650" i="1" s="1"/>
  <c r="J598" i="1"/>
  <c r="H651" i="1"/>
  <c r="K602" i="1"/>
  <c r="K603" i="1"/>
  <c r="K604" i="1"/>
  <c r="K605" i="1"/>
  <c r="G648" i="1" s="1"/>
  <c r="H605" i="1"/>
  <c r="I605" i="1"/>
  <c r="J605" i="1"/>
  <c r="F614" i="1"/>
  <c r="G614" i="1"/>
  <c r="H614" i="1"/>
  <c r="I614" i="1"/>
  <c r="J614" i="1"/>
  <c r="K614" i="1"/>
  <c r="G620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J639" i="1" s="1"/>
  <c r="G640" i="1"/>
  <c r="G643" i="1"/>
  <c r="G644" i="1"/>
  <c r="G645" i="1"/>
  <c r="H645" i="1"/>
  <c r="G650" i="1"/>
  <c r="G652" i="1"/>
  <c r="J652" i="1" s="1"/>
  <c r="H652" i="1"/>
  <c r="G653" i="1"/>
  <c r="H653" i="1"/>
  <c r="G654" i="1"/>
  <c r="H654" i="1"/>
  <c r="H655" i="1"/>
  <c r="A31" i="12"/>
  <c r="D18" i="13"/>
  <c r="C18" i="13"/>
  <c r="F78" i="2"/>
  <c r="F81" i="2" s="1"/>
  <c r="G157" i="2"/>
  <c r="E103" i="2"/>
  <c r="G63" i="2"/>
  <c r="E13" i="13"/>
  <c r="C13" i="13" s="1"/>
  <c r="E78" i="2"/>
  <c r="L427" i="1"/>
  <c r="J571" i="1"/>
  <c r="H169" i="1"/>
  <c r="H476" i="1"/>
  <c r="H624" i="1" s="1"/>
  <c r="H625" i="1"/>
  <c r="J140" i="1"/>
  <c r="F571" i="1"/>
  <c r="G22" i="2"/>
  <c r="H140" i="1"/>
  <c r="C38" i="10" s="1"/>
  <c r="F22" i="13"/>
  <c r="H192" i="1"/>
  <c r="L309" i="1"/>
  <c r="I545" i="1"/>
  <c r="G545" i="1"/>
  <c r="C22" i="13"/>
  <c r="F62" i="2"/>
  <c r="F63" i="2" s="1"/>
  <c r="G162" i="2"/>
  <c r="G103" i="2"/>
  <c r="F103" i="2"/>
  <c r="F91" i="2"/>
  <c r="F50" i="2"/>
  <c r="F51" i="2" s="1"/>
  <c r="I338" i="1"/>
  <c r="I352" i="1" s="1"/>
  <c r="J650" i="1"/>
  <c r="I192" i="1"/>
  <c r="J654" i="1"/>
  <c r="J653" i="1"/>
  <c r="C6" i="10"/>
  <c r="F104" i="2"/>
  <c r="F140" i="1"/>
  <c r="C5" i="10"/>
  <c r="G42" i="2"/>
  <c r="H434" i="1"/>
  <c r="I193" i="1"/>
  <c r="G630" i="1" s="1"/>
  <c r="J630" i="1" s="1"/>
  <c r="G571" i="1"/>
  <c r="I434" i="1"/>
  <c r="G434" i="1"/>
  <c r="L614" i="1"/>
  <c r="I663" i="1"/>
  <c r="L534" i="1"/>
  <c r="G476" i="1"/>
  <c r="H623" i="1"/>
  <c r="H408" i="1"/>
  <c r="H644" i="1" s="1"/>
  <c r="J644" i="1"/>
  <c r="J645" i="1"/>
  <c r="J634" i="1"/>
  <c r="H661" i="1"/>
  <c r="D29" i="13"/>
  <c r="C29" i="13"/>
  <c r="F661" i="1"/>
  <c r="G661" i="1"/>
  <c r="L362" i="1"/>
  <c r="C16" i="10"/>
  <c r="J338" i="1"/>
  <c r="J352" i="1" s="1"/>
  <c r="E110" i="2"/>
  <c r="L290" i="1"/>
  <c r="E109" i="2"/>
  <c r="J257" i="1"/>
  <c r="I257" i="1"/>
  <c r="I271" i="1"/>
  <c r="G651" i="1"/>
  <c r="J651" i="1" s="1"/>
  <c r="K257" i="1"/>
  <c r="K271" i="1"/>
  <c r="L247" i="1"/>
  <c r="C17" i="10"/>
  <c r="F257" i="1"/>
  <c r="F271" i="1"/>
  <c r="H257" i="1"/>
  <c r="H271" i="1" s="1"/>
  <c r="D12" i="13"/>
  <c r="C12" i="13" s="1"/>
  <c r="F33" i="13"/>
  <c r="C120" i="2"/>
  <c r="E8" i="13"/>
  <c r="D7" i="13"/>
  <c r="C7" i="13" s="1"/>
  <c r="D6" i="13"/>
  <c r="C6" i="13"/>
  <c r="J271" i="1"/>
  <c r="J193" i="1"/>
  <c r="G646" i="1"/>
  <c r="G193" i="1"/>
  <c r="G628" i="1" s="1"/>
  <c r="J628" i="1" s="1"/>
  <c r="E91" i="2"/>
  <c r="C62" i="2"/>
  <c r="C63" i="2"/>
  <c r="C35" i="10"/>
  <c r="F112" i="1"/>
  <c r="E31" i="2"/>
  <c r="E51" i="2"/>
  <c r="D31" i="2"/>
  <c r="C31" i="2"/>
  <c r="J618" i="1"/>
  <c r="E18" i="2"/>
  <c r="D18" i="2"/>
  <c r="G635" i="1"/>
  <c r="J635" i="1" s="1"/>
  <c r="C27" i="10"/>
  <c r="I661" i="1"/>
  <c r="H648" i="1"/>
  <c r="J648" i="1" s="1"/>
  <c r="E33" i="13"/>
  <c r="D35" i="13" s="1"/>
  <c r="C8" i="13"/>
  <c r="G631" i="1"/>
  <c r="J631" i="1"/>
  <c r="L208" i="1"/>
  <c r="L211" i="1"/>
  <c r="D14" i="13"/>
  <c r="C14" i="13"/>
  <c r="C20" i="10"/>
  <c r="C15" i="10"/>
  <c r="D5" i="13"/>
  <c r="C5" i="13" s="1"/>
  <c r="G649" i="1"/>
  <c r="C124" i="2"/>
  <c r="D15" i="13"/>
  <c r="C15" i="13" s="1"/>
  <c r="C21" i="10"/>
  <c r="H647" i="1"/>
  <c r="F662" i="1"/>
  <c r="F660" i="1"/>
  <c r="C104" i="2" l="1"/>
  <c r="I662" i="1"/>
  <c r="G104" i="2"/>
  <c r="C164" i="2"/>
  <c r="G164" i="2" s="1"/>
  <c r="K503" i="1"/>
  <c r="G161" i="2"/>
  <c r="J31" i="1"/>
  <c r="I452" i="1"/>
  <c r="C23" i="10"/>
  <c r="C113" i="2"/>
  <c r="E62" i="2"/>
  <c r="E132" i="2"/>
  <c r="E144" i="2" s="1"/>
  <c r="H25" i="13"/>
  <c r="C25" i="10"/>
  <c r="L351" i="1"/>
  <c r="L328" i="1"/>
  <c r="H660" i="1" s="1"/>
  <c r="H664" i="1" s="1"/>
  <c r="C12" i="10"/>
  <c r="E111" i="2"/>
  <c r="E115" i="2" s="1"/>
  <c r="E145" i="2" s="1"/>
  <c r="E124" i="2"/>
  <c r="E120" i="2"/>
  <c r="E128" i="2" s="1"/>
  <c r="J623" i="1"/>
  <c r="C118" i="2"/>
  <c r="C128" i="2" s="1"/>
  <c r="F664" i="1"/>
  <c r="J641" i="1"/>
  <c r="J636" i="1"/>
  <c r="C103" i="2"/>
  <c r="F18" i="2"/>
  <c r="K551" i="1"/>
  <c r="L229" i="1"/>
  <c r="G660" i="1" s="1"/>
  <c r="G664" i="1" s="1"/>
  <c r="C109" i="2"/>
  <c r="F529" i="1"/>
  <c r="L526" i="1"/>
  <c r="L571" i="1"/>
  <c r="L419" i="1"/>
  <c r="L434" i="1" s="1"/>
  <c r="G638" i="1" s="1"/>
  <c r="J638" i="1" s="1"/>
  <c r="L337" i="1"/>
  <c r="I52" i="1"/>
  <c r="H620" i="1" s="1"/>
  <c r="J620" i="1" s="1"/>
  <c r="G625" i="1"/>
  <c r="J625" i="1" s="1"/>
  <c r="G159" i="2"/>
  <c r="E63" i="2"/>
  <c r="E104" i="2" s="1"/>
  <c r="D50" i="2"/>
  <c r="D51" i="2" s="1"/>
  <c r="K550" i="1"/>
  <c r="F169" i="1"/>
  <c r="C85" i="2"/>
  <c r="C91" i="2" s="1"/>
  <c r="K338" i="1"/>
  <c r="K352" i="1" s="1"/>
  <c r="G31" i="13"/>
  <c r="G33" i="13" s="1"/>
  <c r="H662" i="1"/>
  <c r="K591" i="1"/>
  <c r="K598" i="1" s="1"/>
  <c r="G647" i="1" s="1"/>
  <c r="J647" i="1" s="1"/>
  <c r="H598" i="1"/>
  <c r="H649" i="1" s="1"/>
  <c r="J649" i="1" s="1"/>
  <c r="J545" i="1"/>
  <c r="F545" i="1"/>
  <c r="H52" i="1"/>
  <c r="H619" i="1" s="1"/>
  <c r="J619" i="1" s="1"/>
  <c r="G624" i="1"/>
  <c r="J624" i="1" s="1"/>
  <c r="C78" i="2"/>
  <c r="C81" i="2" s="1"/>
  <c r="J37" i="1"/>
  <c r="I460" i="1"/>
  <c r="C50" i="2"/>
  <c r="C51" i="2" s="1"/>
  <c r="J17" i="1"/>
  <c r="I446" i="1"/>
  <c r="G642" i="1" s="1"/>
  <c r="J552" i="1"/>
  <c r="F549" i="1"/>
  <c r="L524" i="1"/>
  <c r="F130" i="2"/>
  <c r="F144" i="2" s="1"/>
  <c r="F145" i="2" s="1"/>
  <c r="C29" i="10"/>
  <c r="H112" i="1"/>
  <c r="L393" i="1"/>
  <c r="C114" i="2"/>
  <c r="D17" i="13"/>
  <c r="C17" i="13" s="1"/>
  <c r="C24" i="10"/>
  <c r="C49" i="2"/>
  <c r="F51" i="1"/>
  <c r="H667" i="1" l="1"/>
  <c r="H672" i="1"/>
  <c r="L529" i="1"/>
  <c r="G549" i="1"/>
  <c r="G552" i="1" s="1"/>
  <c r="C28" i="10"/>
  <c r="D12" i="10" s="1"/>
  <c r="H33" i="13"/>
  <c r="C25" i="13"/>
  <c r="D23" i="10"/>
  <c r="F552" i="1"/>
  <c r="K549" i="1"/>
  <c r="K552" i="1" s="1"/>
  <c r="D25" i="10"/>
  <c r="G36" i="2"/>
  <c r="G50" i="2" s="1"/>
  <c r="J51" i="1"/>
  <c r="C39" i="10"/>
  <c r="F193" i="1"/>
  <c r="G627" i="1" s="1"/>
  <c r="J627" i="1" s="1"/>
  <c r="D31" i="13"/>
  <c r="C31" i="13" s="1"/>
  <c r="L338" i="1"/>
  <c r="L352" i="1" s="1"/>
  <c r="G633" i="1" s="1"/>
  <c r="J633" i="1" s="1"/>
  <c r="I461" i="1"/>
  <c r="H642" i="1" s="1"/>
  <c r="J642" i="1" s="1"/>
  <c r="L257" i="1"/>
  <c r="L271" i="1" s="1"/>
  <c r="G632" i="1" s="1"/>
  <c r="J632" i="1" s="1"/>
  <c r="C36" i="10"/>
  <c r="H193" i="1"/>
  <c r="G629" i="1" s="1"/>
  <c r="J629" i="1" s="1"/>
  <c r="G667" i="1"/>
  <c r="G672" i="1"/>
  <c r="G622" i="1"/>
  <c r="J622" i="1" s="1"/>
  <c r="F52" i="1"/>
  <c r="H617" i="1" s="1"/>
  <c r="J617" i="1" s="1"/>
  <c r="L408" i="1"/>
  <c r="C138" i="2"/>
  <c r="L545" i="1"/>
  <c r="G16" i="2"/>
  <c r="G18" i="2" s="1"/>
  <c r="J19" i="1"/>
  <c r="G621" i="1" s="1"/>
  <c r="C115" i="2"/>
  <c r="F672" i="1"/>
  <c r="C4" i="10" s="1"/>
  <c r="F667" i="1"/>
  <c r="G30" i="2"/>
  <c r="G31" i="2" s="1"/>
  <c r="J32" i="1"/>
  <c r="I660" i="1"/>
  <c r="I664" i="1" s="1"/>
  <c r="C41" i="10" l="1"/>
  <c r="G626" i="1"/>
  <c r="J626" i="1" s="1"/>
  <c r="J52" i="1"/>
  <c r="H621" i="1" s="1"/>
  <c r="H656" i="1" s="1"/>
  <c r="C141" i="2"/>
  <c r="C144" i="2"/>
  <c r="C145" i="2" s="1"/>
  <c r="D33" i="13"/>
  <c r="D36" i="13" s="1"/>
  <c r="G51" i="2"/>
  <c r="H646" i="1"/>
  <c r="J646" i="1" s="1"/>
  <c r="G637" i="1"/>
  <c r="J637" i="1" s="1"/>
  <c r="D24" i="10"/>
  <c r="I672" i="1"/>
  <c r="C7" i="10" s="1"/>
  <c r="I667" i="1"/>
  <c r="D39" i="10"/>
  <c r="D19" i="10"/>
  <c r="D16" i="10"/>
  <c r="D13" i="10"/>
  <c r="D17" i="10"/>
  <c r="D22" i="10"/>
  <c r="D18" i="10"/>
  <c r="D20" i="10"/>
  <c r="D27" i="10"/>
  <c r="D11" i="10"/>
  <c r="C30" i="10"/>
  <c r="D26" i="10"/>
  <c r="D10" i="10"/>
  <c r="D15" i="10"/>
  <c r="D21" i="10"/>
  <c r="J621" i="1" l="1"/>
  <c r="D40" i="10"/>
  <c r="D37" i="10"/>
  <c r="D35" i="10"/>
  <c r="D41" i="10" s="1"/>
  <c r="D38" i="10"/>
  <c r="D28" i="10"/>
  <c r="D36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<sst xmlns="http://schemas.openxmlformats.org/spreadsheetml/2006/main" count="3954" uniqueCount="912">
  <si>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</si>
  <si>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</si>
  <si>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</si>
  <si>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</si>
  <si>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</si>
  <si>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</si>
  <si>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</si>
  <si>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</si>
  <si>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</si>
  <si>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</si>
  <si>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</si>
  <si>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</si>
  <si>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</si>
  <si>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</si>
  <si>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</si>
  <si>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</si>
  <si>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</si>
  <si>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</si>
  <si>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</si>
  <si>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</si>
  <si>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</si>
  <si>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</si>
  <si>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</si>
  <si>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</si>
  <si>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</si>
  <si>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</si>
  <si>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</si>
  <si>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</si>
  <si>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</si>
  <si>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</si>
  <si>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</si>
  <si>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</si>
  <si>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</si>
  <si>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</si>
  <si>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</si>
  <si>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</si>
  <si>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</si>
  <si>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</si>
  <si>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</si>
  <si>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</si>
  <si>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</si>
  <si>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</si>
  <si>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</si>
  <si>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</si>
  <si>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</si>
  <si>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</si>
  <si>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</si>
  <si>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</si>
  <si>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</si>
  <si>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</si>
  <si>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</si>
  <si>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</si>
  <si>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</si>
  <si>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</si>
  <si>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</si>
  <si>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</si>
  <si>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</si>
  <si>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</si>
  <si>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</si>
  <si>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</si>
  <si>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</si>
  <si>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</si>
  <si>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</si>
  <si>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</si>
  <si>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</si>
  <si>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</si>
  <si>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</si>
  <si>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</si>
  <si>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</si>
  <si>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</si>
  <si>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</si>
  <si>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</si>
  <si>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</si>
  <si>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</si>
  <si>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</si>
  <si>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</si>
  <si>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</si>
  <si>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</si>
  <si>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</si>
  <si>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</si>
  <si>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</si>
  <si>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</si>
  <si>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</si>
  <si>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</si>
  <si>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</si>
  <si>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</si>
  <si>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</si>
  <si>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</si>
  <si>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</si>
  <si>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</si>
  <si>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</si>
  <si>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</si>
  <si>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</si>
  <si>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</si>
  <si>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</si>
  <si>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</si>
  <si>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</si>
  <si>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</si>
  <si>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</si>
  <si>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</si>
  <si>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</si>
  <si>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</si>
  <si>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</si>
  <si>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</si>
  <si>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</si>
  <si>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</si>
  <si>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</si>
  <si>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</si>
  <si>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</si>
  <si>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</si>
  <si>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</si>
  <si>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</si>
  <si>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</si>
  <si>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</si>
  <si>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</si>
  <si>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</si>
  <si>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</si>
  <si>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</si>
  <si>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</si>
  <si>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</si>
  <si>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</si>
  <si>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</si>
  <si>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</si>
  <si>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</si>
  <si>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</si>
  <si>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</si>
  <si>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</si>
  <si>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</si>
  <si>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</si>
  <si>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</si>
  <si>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</si>
  <si>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</si>
  <si>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</si>
  <si>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</si>
  <si>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</si>
  <si>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</si>
  <si>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</si>
  <si>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</si>
  <si>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</si>
  <si>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</si>
  <si>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</si>
  <si>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</si>
  <si>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</si>
  <si>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</si>
  <si>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</si>
  <si>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</si>
  <si>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</si>
  <si>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</si>
  <si>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</si>
  <si>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</si>
  <si>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</si>
  <si>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</si>
  <si>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</si>
  <si>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</si>
  <si>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</si>
  <si>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</si>
  <si>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</si>
  <si>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</si>
  <si>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</si>
  <si>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</si>
  <si>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</si>
  <si>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</si>
  <si>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</si>
  <si>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</si>
  <si>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</si>
  <si>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</si>
  <si>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</si>
  <si>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</si>
  <si>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</si>
  <si>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</si>
  <si>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</si>
  <si>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</si>
  <si>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</si>
  <si>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</si>
  <si>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</si>
  <si>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</si>
  <si>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</si>
  <si>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</si>
  <si>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</si>
  <si>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</si>
  <si>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</si>
  <si>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</si>
  <si>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</si>
  <si>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</si>
  <si>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</si>
  <si>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</si>
  <si>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</si>
  <si>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</si>
  <si>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</si>
  <si>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</si>
  <si>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</si>
  <si>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</si>
  <si>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</si>
  <si>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</si>
  <si>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</si>
  <si>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</si>
  <si>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</si>
  <si>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</si>
  <si>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</si>
  <si>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</si>
  <si>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</si>
  <si>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</si>
  <si>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</si>
  <si>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</si>
  <si>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</si>
  <si>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</si>
  <si>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</si>
  <si>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</si>
  <si>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</si>
  <si>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</si>
  <si>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</si>
  <si>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</si>
  <si>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</si>
  <si>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</si>
  <si>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</si>
  <si>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</si>
  <si>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</si>
  <si>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</si>
  <si>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</si>
  <si>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</si>
  <si>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</si>
  <si>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</si>
  <si>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</si>
  <si>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</si>
  <si>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</si>
  <si>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</si>
  <si>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</si>
  <si>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</si>
  <si>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</si>
  <si>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</si>
  <si>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</si>
  <si>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</si>
  <si>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</si>
  <si>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</si>
  <si>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</si>
  <si>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</si>
  <si>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</si>
  <si>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</si>
  <si>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</si>
  <si>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</si>
  <si>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</si>
  <si>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</si>
  <si>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</si>
  <si>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</si>
  <si>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</si>
  <si>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</si>
  <si>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</si>
  <si>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</si>
  <si>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</si>
  <si>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</si>
  <si>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</si>
  <si>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</si>
  <si>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</si>
  <si>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</si>
  <si>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</si>
  <si>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</si>
  <si>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</si>
  <si>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</si>
  <si>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</si>
  <si>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</si>
  <si>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</si>
  <si>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</si>
  <si>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</si>
  <si>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</si>
  <si>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</si>
  <si>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</si>
  <si>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</si>
  <si>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</si>
  <si>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</si>
  <si>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</si>
  <si>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</si>
  <si>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</si>
  <si>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</si>
  <si>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</si>
  <si>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</si>
  <si>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</si>
  <si>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</si>
  <si>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</si>
  <si>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</si>
  <si>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</si>
  <si>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</si>
  <si>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</si>
  <si>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</si>
  <si>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</si>
  <si>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</si>
  <si>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</si>
  <si>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</si>
  <si>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</si>
  <si>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</si>
  <si>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</si>
  <si>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</si>
  <si>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</si>
  <si>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</si>
  <si>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</si>
  <si>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</si>
  <si>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</si>
  <si>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</si>
  <si>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</si>
  <si>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</si>
  <si>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</si>
  <si>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</si>
  <si>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</si>
  <si>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</si>
  <si>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</si>
  <si>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</si>
  <si>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</si>
  <si>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</si>
  <si>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</si>
  <si>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</si>
  <si>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</si>
  <si>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</si>
  <si>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</si>
  <si>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</si>
  <si>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</si>
  <si>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</si>
  <si>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</si>
  <si>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</si>
  <si>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</si>
  <si>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</si>
  <si>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</si>
  <si>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</si>
  <si>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</si>
  <si>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</si>
  <si>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</si>
  <si>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</si>
  <si>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</si>
  <si>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</si>
  <si>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</si>
  <si>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</si>
  <si>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</si>
  <si>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</si>
  <si>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</si>
  <si>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</si>
  <si>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</si>
  <si>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</si>
  <si>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</si>
  <si>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</si>
  <si>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</si>
  <si>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</si>
  <si>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</si>
  <si>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</si>
  <si>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</si>
  <si>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</si>
  <si>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</si>
  <si>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</si>
  <si>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</si>
  <si>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</si>
  <si>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</si>
  <si>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</si>
  <si>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</si>
  <si>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</si>
  <si>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</si>
  <si>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</si>
  <si>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</si>
  <si>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</si>
  <si>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</si>
  <si>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</si>
  <si>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</si>
  <si>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</si>
  <si>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</si>
  <si>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</si>
  <si>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</si>
  <si>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</si>
  <si>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</si>
  <si>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</si>
  <si>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</si>
  <si>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</si>
  <si>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</si>
  <si>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</si>
  <si>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</si>
  <si>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</si>
  <si>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</si>
  <si>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</si>
  <si>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</si>
  <si>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</si>
  <si>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</si>
  <si>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</si>
  <si>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</si>
  <si>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</si>
  <si>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</si>
  <si>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</si>
  <si>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</si>
  <si>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</si>
  <si>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</si>
  <si>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</si>
  <si>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</si>
  <si>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</si>
  <si>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</si>
  <si>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</si>
  <si>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</si>
  <si>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</si>
  <si>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</si>
  <si>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</si>
  <si>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</si>
  <si>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</si>
  <si>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</si>
  <si>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</si>
  <si>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</si>
  <si>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</si>
  <si>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</si>
  <si>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</si>
  <si>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</si>
  <si>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</si>
  <si>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</si>
  <si>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</si>
  <si>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</si>
  <si>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</si>
  <si>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</si>
  <si>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</si>
  <si>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</si>
  <si>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</si>
  <si>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</si>
  <si>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</si>
  <si>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</si>
  <si>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</si>
  <si>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</si>
  <si>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</si>
  <si>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</si>
  <si>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</si>
  <si>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</si>
  <si>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</si>
  <si>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</si>
  <si>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</si>
  <si>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</si>
  <si>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</si>
  <si>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</si>
  <si>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</si>
  <si>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</si>
  <si>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</si>
  <si>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</si>
  <si>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</si>
  <si>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</si>
  <si>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</si>
  <si>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</si>
  <si>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</si>
  <si>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</si>
  <si>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</si>
  <si>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</si>
  <si>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</si>
  <si>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</si>
  <si>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</si>
  <si>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</si>
  <si>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</si>
  <si>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</si>
  <si>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</si>
  <si>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</si>
  <si>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</si>
  <si>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</si>
  <si>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</si>
  <si>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</si>
  <si>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</si>
  <si>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</si>
  <si>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</si>
  <si>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</si>
  <si>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</si>
  <si>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</si>
  <si>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</si>
  <si>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</si>
  <si>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</si>
  <si>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</si>
  <si>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</si>
  <si>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</si>
  <si>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</si>
  <si>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</si>
  <si>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</si>
  <si>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</si>
  <si>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</si>
  <si>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</si>
  <si>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</si>
  <si>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</si>
  <si>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</si>
  <si>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</si>
  <si>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</si>
  <si>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</si>
  <si>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</si>
  <si>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</si>
  <si>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</si>
  <si>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</si>
  <si>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</si>
  <si>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</si>
  <si>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</si>
  <si>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</si>
  <si>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</si>
  <si>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</si>
  <si>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</si>
  <si>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</si>
  <si>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</si>
  <si>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</si>
  <si>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</si>
  <si>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</si>
  <si>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</si>
  <si>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</si>
  <si>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</si>
  <si>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</si>
  <si>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</si>
  <si>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</si>
  <si>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</si>
  <si>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</si>
  <si>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</si>
  <si>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</si>
  <si>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</si>
  <si>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</si>
  <si>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</si>
  <si>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</si>
  <si>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</si>
  <si>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</si>
  <si>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</si>
  <si>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</si>
  <si>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</si>
  <si>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</si>
  <si>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</si>
  <si>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</si>
  <si>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</si>
  <si>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</si>
  <si>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</si>
  <si>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</si>
  <si>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</si>
  <si>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</si>
  <si>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</si>
  <si>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</si>
  <si>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</si>
  <si>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</si>
  <si>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</si>
  <si>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</si>
  <si>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</si>
  <si>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</si>
  <si>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</si>
  <si>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</si>
  <si>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</si>
  <si>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</si>
  <si>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</si>
  <si>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</si>
  <si>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</si>
  <si>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</si>
  <si>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</si>
  <si>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</si>
  <si>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</si>
  <si>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</si>
  <si>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</si>
  <si>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</si>
  <si>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</si>
  <si>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</si>
  <si>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</si>
  <si>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</si>
  <si>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</si>
  <si>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</si>
  <si>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</si>
  <si>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</si>
  <si>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</si>
  <si>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</si>
  <si>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</si>
  <si>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</si>
  <si>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</si>
  <si>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</si>
  <si>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</si>
  <si>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</si>
  <si>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</si>
  <si>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</si>
  <si>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</si>
  <si>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</si>
  <si>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</si>
  <si>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</si>
  <si>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</si>
  <si>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</si>
  <si>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</si>
  <si>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</si>
  <si>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</si>
  <si>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</si>
  <si>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</si>
  <si>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</si>
  <si>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</si>
  <si>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</si>
  <si>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</si>
  <si>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</si>
  <si>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</si>
  <si>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</si>
  <si>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</si>
  <si>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</si>
  <si>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</si>
  <si>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</si>
  <si>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</si>
  <si>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</si>
  <si>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</si>
  <si>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</si>
  <si>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</si>
  <si>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</si>
  <si>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</si>
  <si>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</si>
  <si>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</si>
  <si>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</si>
  <si>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</si>
  <si>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</si>
  <si>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</si>
  <si>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</si>
  <si>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</si>
  <si>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</si>
  <si>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</si>
  <si>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</si>
  <si>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</si>
  <si>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</si>
  <si>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</si>
  <si>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</si>
  <si>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</si>
  <si>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</si>
  <si>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</si>
  <si>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</si>
  <si>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</si>
  <si>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</si>
  <si>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</si>
  <si>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</si>
  <si>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</si>
  <si>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</si>
  <si>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</si>
  <si>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</si>
  <si>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</si>
  <si>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</si>
  <si>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</si>
  <si>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</si>
  <si>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</si>
  <si>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</si>
  <si>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</si>
  <si>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</si>
  <si>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</si>
  <si>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</si>
  <si>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</si>
  <si>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</si>
  <si>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</si>
  <si>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</si>
  <si>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</si>
  <si>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</si>
  <si>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</si>
  <si>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</si>
  <si>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</si>
  <si>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</si>
  <si>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</si>
  <si>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</si>
  <si>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</si>
  <si>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</si>
  <si>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</si>
  <si>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</si>
  <si>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</si>
  <si>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</si>
  <si>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</si>
  <si>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</si>
  <si>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</si>
  <si>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</si>
  <si>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</si>
  <si>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</si>
  <si>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</si>
  <si>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</si>
  <si>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</si>
  <si>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</si>
  <si>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</si>
  <si>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</si>
  <si>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</si>
  <si>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</si>
  <si>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</si>
  <si>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</si>
  <si>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</si>
  <si>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</si>
  <si>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</si>
  <si>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</si>
  <si>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</si>
  <si>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</si>
  <si>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</si>
  <si>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</si>
  <si>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</si>
  <si>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</si>
  <si>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</si>
  <si>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</si>
  <si>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</si>
  <si>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</si>
  <si>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</si>
  <si>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</si>
  <si>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</si>
  <si>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</si>
  <si>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</si>
  <si>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</si>
  <si>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</si>
  <si>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</si>
  <si>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</si>
  <si>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</si>
  <si>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</si>
  <si>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</si>
  <si>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</si>
  <si>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</si>
  <si>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</si>
  <si>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</si>
  <si>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</si>
  <si>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</si>
  <si>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</si>
  <si>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</si>
  <si>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</si>
  <si>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</si>
  <si>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</si>
  <si>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</si>
  <si>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</si>
  <si>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</si>
  <si>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</si>
  <si>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</si>
  <si>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</si>
  <si>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</si>
  <si>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</si>
  <si>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</si>
  <si>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</si>
  <si>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</si>
  <si>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</si>
  <si>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</si>
  <si>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</si>
  <si>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</si>
  <si>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</si>
  <si>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</si>
  <si>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</si>
  <si>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</si>
  <si>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</si>
  <si>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</si>
  <si>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</si>
  <si>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</si>
  <si>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</si>
  <si>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</si>
  <si>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</si>
  <si>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</si>
  <si>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</si>
  <si>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</si>
  <si>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</si>
  <si>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</si>
  <si>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</si>
  <si>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</si>
  <si>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</si>
  <si>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</si>
  <si>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</si>
  <si>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</si>
  <si>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</si>
  <si>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</si>
  <si>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</si>
  <si>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</si>
  <si>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</si>
  <si>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</si>
  <si>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</si>
  <si>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</si>
  <si>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</si>
  <si>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</si>
  <si>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</si>
  <si>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</si>
  <si>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</si>
  <si>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</si>
  <si>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</si>
  <si>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</si>
  <si>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</si>
  <si>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</si>
  <si>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</si>
  <si>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</si>
  <si>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</si>
  <si>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</si>
  <si>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</si>
  <si>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</si>
  <si>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</si>
  <si>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</si>
  <si>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</si>
  <si>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</si>
  <si>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</si>
  <si>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</si>
  <si>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</si>
  <si>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</si>
  <si>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</si>
  <si>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</si>
  <si>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</si>
  <si>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</si>
  <si>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</si>
  <si>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</si>
  <si>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</si>
  <si>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</si>
  <si>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</si>
  <si>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</si>
  <si>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</si>
  <si>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</si>
  <si>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</si>
  <si>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</si>
  <si>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</si>
  <si>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</si>
  <si>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</si>
  <si>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</si>
  <si>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</si>
  <si>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</si>
  <si>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</si>
  <si>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</si>
  <si>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</si>
  <si>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</si>
  <si>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</si>
  <si>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</si>
  <si>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</si>
  <si>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</si>
  <si>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</si>
  <si>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</si>
  <si>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</si>
  <si>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</si>
  <si>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</si>
  <si>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</si>
  <si>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</si>
  <si>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</si>
  <si>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</si>
  <si>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</si>
  <si>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</si>
  <si>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</si>
  <si>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</si>
  <si>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</si>
  <si>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</si>
  <si>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</si>
  <si>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</si>
  <si>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</si>
  <si>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</si>
  <si>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</si>
  <si>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</si>
  <si>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</si>
  <si>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</si>
  <si>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</si>
  <si>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</si>
  <si>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</si>
  <si>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</si>
  <si>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</si>
  <si>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</si>
  <si>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</si>
  <si>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</si>
  <si>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</si>
  <si>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</si>
  <si>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</si>
  <si>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</si>
  <si>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</si>
  <si>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</si>
  <si>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</si>
  <si>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</si>
  <si>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</si>
  <si>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</si>
  <si>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</si>
  <si>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</si>
  <si>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</si>
  <si>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</si>
  <si>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</si>
  <si>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</si>
  <si>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</si>
  <si>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</si>
  <si>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</si>
  <si>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</si>
  <si>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</si>
  <si>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</si>
  <si>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</si>
  <si>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</si>
  <si>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</si>
  <si>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</si>
  <si>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</si>
  <si>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</si>
  <si>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</si>
  <si>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</si>
  <si>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</si>
  <si>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</si>
  <si>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</si>
  <si>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</si>
  <si>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</si>
  <si>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</si>
  <si>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</si>
  <si>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</si>
  <si>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</si>
  <si>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</si>
  <si>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</si>
  <si>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</si>
  <si>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</si>
  <si>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</si>
  <si>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</si>
  <si>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</si>
  <si>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</si>
  <si>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</si>
  <si>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</si>
  <si>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</si>
  <si>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</si>
  <si>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</si>
  <si>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</si>
  <si>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</si>
  <si>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</si>
  <si>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</si>
  <si>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</si>
  <si>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</si>
  <si>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</si>
  <si>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</si>
  <si>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</si>
  <si>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</si>
  <si>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</si>
  <si>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</si>
  <si>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</si>
  <si>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</si>
  <si>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</si>
  <si>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</si>
  <si>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</si>
  <si>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</si>
  <si>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</si>
  <si>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</si>
  <si>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</si>
  <si>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</si>
  <si>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</si>
  <si>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</si>
  <si>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</si>
  <si>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</si>
  <si>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</si>
  <si>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</si>
  <si>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</si>
  <si>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</si>
  <si>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</si>
  <si>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</si>
  <si>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</si>
  <si>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</si>
  <si>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</si>
  <si>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</si>
  <si>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 xml:space="preserve">                  BARTLETT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</si>
</sst>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35</v>
      </c>
      <c r="C2" s="21">
        <v>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418147.69+300</f>
        <v>418447.69</v>
      </c>
      <c r="G9" s="18">
        <v>51030.35</v>
      </c>
      <c r="H9" s="18">
        <v>0</v>
      </c>
      <c r="I9" s="18"/>
      <c r="J9" s="67">
        <f>SUM(I439)</f>
        <v>177247.9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107265.94</v>
      </c>
      <c r="G12" s="18">
        <v>23983</v>
      </c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11743.54</v>
      </c>
      <c r="G13" s="18">
        <v>9877.64</v>
      </c>
      <c r="H13" s="18">
        <v>24841.56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3012.02</v>
      </c>
      <c r="G14" s="18">
        <v>2.85</v>
      </c>
      <c r="H14" s="18">
        <v>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4638-267.75</f>
        <v>4370.25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544839.44000000006</v>
      </c>
      <c r="G19" s="41">
        <f>SUM(G9:G18)</f>
        <v>84893.840000000011</v>
      </c>
      <c r="H19" s="41">
        <f>SUM(H9:H18)</f>
        <v>24841.56</v>
      </c>
      <c r="I19" s="41">
        <f>SUM(I9:I18)</f>
        <v>0</v>
      </c>
      <c r="J19" s="41">
        <f>SUM(J9:J18)</f>
        <v>177247.9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23983</v>
      </c>
      <c r="G22" s="18">
        <v>84330.19</v>
      </c>
      <c r="H22" s="18">
        <v>22935.75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12439.72</v>
      </c>
      <c r="G24" s="18">
        <v>45.85</v>
      </c>
      <c r="H24" s="18">
        <v>95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7074.72-13</f>
        <v>7061.72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21032.62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64517.06</v>
      </c>
      <c r="G32" s="41">
        <f>SUM(G22:G31)</f>
        <v>84376.040000000008</v>
      </c>
      <c r="H32" s="41">
        <f>SUM(H22:H31)</f>
        <v>23030.75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25000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517.79999999999995</v>
      </c>
      <c r="H48" s="18">
        <v>1810.81</v>
      </c>
      <c r="I48" s="18"/>
      <c r="J48" s="13">
        <f>SUM(I459)</f>
        <v>177247.9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475952.13+4370.25-25000</f>
        <v>455322.38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480322.38</v>
      </c>
      <c r="G51" s="41">
        <f>SUM(G35:G50)</f>
        <v>517.79999999999995</v>
      </c>
      <c r="H51" s="41">
        <f>SUM(H35:H50)</f>
        <v>1810.81</v>
      </c>
      <c r="I51" s="41">
        <f>SUM(I35:I50)</f>
        <v>0</v>
      </c>
      <c r="J51" s="41">
        <f>SUM(J35:J50)</f>
        <v>177247.9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544839.43999999994</v>
      </c>
      <c r="G52" s="41">
        <f>G51+G32</f>
        <v>84893.840000000011</v>
      </c>
      <c r="H52" s="41">
        <f>H51+H32</f>
        <v>24841.56</v>
      </c>
      <c r="I52" s="41">
        <f>I51+I32</f>
        <v>0</v>
      </c>
      <c r="J52" s="41">
        <f>J51+J32</f>
        <v>177247.9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4176668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4176668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371256.2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371256.2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5.69</v>
      </c>
      <c r="H96" s="18"/>
      <c r="I96" s="18"/>
      <c r="J96" s="18">
        <v>291.56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69583.73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2060.1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34302.86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75135.02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111497.98000000001</v>
      </c>
      <c r="G111" s="41">
        <f>SUM(G96:G110)</f>
        <v>69589.42</v>
      </c>
      <c r="H111" s="41">
        <f>SUM(H96:H110)</f>
        <v>0</v>
      </c>
      <c r="I111" s="41">
        <f>SUM(I96:I110)</f>
        <v>0</v>
      </c>
      <c r="J111" s="41">
        <f>SUM(J96:J110)</f>
        <v>291.56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4659422.1800000006</v>
      </c>
      <c r="G112" s="41">
        <f>G60+G111</f>
        <v>69589.42</v>
      </c>
      <c r="H112" s="41">
        <f>H60+H79+H94+H111</f>
        <v>0</v>
      </c>
      <c r="I112" s="41">
        <f>I60+I111</f>
        <v>0</v>
      </c>
      <c r="J112" s="41">
        <f>J60+J111</f>
        <v>291.56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18308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2343755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2362063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1338.71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1338.71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2362063</v>
      </c>
      <c r="G140" s="41">
        <f>G121+SUM(G136:G137)</f>
        <v>1338.71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3015</v>
      </c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78478.179999999993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19518.09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44529.08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44297.120000000003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43344.03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43344.03</v>
      </c>
      <c r="G162" s="41">
        <f>SUM(G150:G161)</f>
        <v>44529.08</v>
      </c>
      <c r="H162" s="41">
        <f>SUM(H150:H161)</f>
        <v>145308.38999999998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18076.240000000002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61420.270000000004</v>
      </c>
      <c r="G169" s="41">
        <f>G147+G162+SUM(G163:G168)</f>
        <v>44529.08</v>
      </c>
      <c r="H169" s="41">
        <f>H147+H162+SUM(H163:H168)</f>
        <v>145308.38999999998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24415.45</v>
      </c>
      <c r="H179" s="18"/>
      <c r="I179" s="18"/>
      <c r="J179" s="18">
        <v>15000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24415.45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40000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40000</v>
      </c>
      <c r="G192" s="41">
        <f>G183+SUM(G188:G191)</f>
        <v>24415.45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7122905.4500000002</v>
      </c>
      <c r="G193" s="47">
        <f>G112+G140+G169+G192</f>
        <v>139872.66</v>
      </c>
      <c r="H193" s="47">
        <f>H112+H140+H169+H192</f>
        <v>145308.38999999998</v>
      </c>
      <c r="I193" s="47">
        <f>I112+I140+I169+I192</f>
        <v>0</v>
      </c>
      <c r="J193" s="47">
        <f>J112+J140+J192</f>
        <v>15291.56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1295556.23</v>
      </c>
      <c r="G197" s="18">
        <f>594835.05-443.25-267.75</f>
        <v>594124.05000000005</v>
      </c>
      <c r="H197" s="18">
        <v>19657.39</v>
      </c>
      <c r="I197" s="18">
        <v>43882.3</v>
      </c>
      <c r="J197" s="18">
        <v>15117.39</v>
      </c>
      <c r="K197" s="18"/>
      <c r="L197" s="19">
        <f>SUM(F197:K197)</f>
        <v>1968337.3599999999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437439.94</v>
      </c>
      <c r="G198" s="18">
        <f>267354.86-535.5-267.75-624.75</f>
        <v>265926.86</v>
      </c>
      <c r="H198" s="18">
        <v>148613.44</v>
      </c>
      <c r="I198" s="18">
        <v>0</v>
      </c>
      <c r="J198" s="18">
        <v>0</v>
      </c>
      <c r="K198" s="18"/>
      <c r="L198" s="19">
        <f>SUM(F198:K198)</f>
        <v>851980.24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51850</v>
      </c>
      <c r="G200" s="18">
        <v>10115.43</v>
      </c>
      <c r="H200" s="18">
        <v>29372</v>
      </c>
      <c r="I200" s="18">
        <v>2299.7600000000002</v>
      </c>
      <c r="J200" s="18">
        <v>2000</v>
      </c>
      <c r="K200" s="18"/>
      <c r="L200" s="19">
        <f>SUM(F200:K200)</f>
        <v>95637.189999999988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265954.78000000003</v>
      </c>
      <c r="G202" s="18">
        <f>155655.79-267.75-267.75-89.25-267.75</f>
        <v>154763.29</v>
      </c>
      <c r="H202" s="18">
        <v>17279.439999999999</v>
      </c>
      <c r="I202" s="18">
        <v>1025.3900000000001</v>
      </c>
      <c r="J202" s="18"/>
      <c r="K202" s="18"/>
      <c r="L202" s="19">
        <f t="shared" ref="L202:L208" si="0">SUM(F202:K202)</f>
        <v>439022.90000000008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44300</v>
      </c>
      <c r="G203" s="18">
        <v>29835.73</v>
      </c>
      <c r="H203" s="18">
        <v>19374.07</v>
      </c>
      <c r="I203" s="18">
        <v>7322.43</v>
      </c>
      <c r="J203" s="18"/>
      <c r="K203" s="18"/>
      <c r="L203" s="19">
        <f t="shared" si="0"/>
        <v>100832.22999999998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7957.09</v>
      </c>
      <c r="G204" s="18">
        <v>608.69000000000005</v>
      </c>
      <c r="H204" s="18">
        <v>190782.44</v>
      </c>
      <c r="I204" s="18"/>
      <c r="J204" s="18"/>
      <c r="K204" s="18">
        <v>1880.88</v>
      </c>
      <c r="L204" s="19">
        <f t="shared" si="0"/>
        <v>201229.1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175511.63</v>
      </c>
      <c r="G205" s="18">
        <f>101732.95-267.75-535.5</f>
        <v>100929.7</v>
      </c>
      <c r="H205" s="18">
        <v>14153.28</v>
      </c>
      <c r="I205" s="18">
        <v>6781.47</v>
      </c>
      <c r="J205" s="18">
        <v>2784</v>
      </c>
      <c r="K205" s="18">
        <v>1599.79</v>
      </c>
      <c r="L205" s="19">
        <f t="shared" si="0"/>
        <v>301759.87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130630.17</v>
      </c>
      <c r="G207" s="18">
        <f>70344.86-357</f>
        <v>69987.86</v>
      </c>
      <c r="H207" s="18">
        <v>162477.82999999999</v>
      </c>
      <c r="I207" s="18">
        <v>133438.19</v>
      </c>
      <c r="J207" s="18">
        <v>2474.1999999999998</v>
      </c>
      <c r="K207" s="18"/>
      <c r="L207" s="19">
        <f t="shared" si="0"/>
        <v>499008.25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63915.31</v>
      </c>
      <c r="G208" s="18">
        <f>38622.11-178.5</f>
        <v>38443.61</v>
      </c>
      <c r="H208" s="18">
        <v>11077.74</v>
      </c>
      <c r="I208" s="18">
        <v>34705.75</v>
      </c>
      <c r="J208" s="18">
        <v>51234</v>
      </c>
      <c r="K208" s="18"/>
      <c r="L208" s="19">
        <f t="shared" si="0"/>
        <v>199376.41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274</v>
      </c>
      <c r="I209" s="18"/>
      <c r="J209" s="18"/>
      <c r="K209" s="18"/>
      <c r="L209" s="19">
        <f>SUM(F209:K209)</f>
        <v>274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2473115.15</v>
      </c>
      <c r="G211" s="41">
        <f t="shared" si="1"/>
        <v>1264735.2200000002</v>
      </c>
      <c r="H211" s="41">
        <f t="shared" si="1"/>
        <v>613061.63</v>
      </c>
      <c r="I211" s="41">
        <f t="shared" si="1"/>
        <v>229455.29</v>
      </c>
      <c r="J211" s="41">
        <f t="shared" si="1"/>
        <v>73609.59</v>
      </c>
      <c r="K211" s="41">
        <f t="shared" si="1"/>
        <v>3480.67</v>
      </c>
      <c r="L211" s="41">
        <f t="shared" si="1"/>
        <v>4657457.55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2101789</v>
      </c>
      <c r="I233" s="18"/>
      <c r="J233" s="18"/>
      <c r="K233" s="18"/>
      <c r="L233" s="19">
        <f>SUM(F233:K233)</f>
        <v>2101789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47689.8</v>
      </c>
      <c r="I234" s="18"/>
      <c r="J234" s="18"/>
      <c r="K234" s="18"/>
      <c r="L234" s="19">
        <f>SUM(F234:K234)</f>
        <v>47689.8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11520</v>
      </c>
      <c r="G238" s="18">
        <v>6546.88</v>
      </c>
      <c r="H238" s="18"/>
      <c r="I238" s="18"/>
      <c r="J238" s="18"/>
      <c r="K238" s="18"/>
      <c r="L238" s="19">
        <f t="shared" ref="L238:L244" si="4">SUM(F238:K238)</f>
        <v>18066.88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4284.58</v>
      </c>
      <c r="G240" s="18">
        <v>327.75</v>
      </c>
      <c r="H240" s="18">
        <v>102729</v>
      </c>
      <c r="I240" s="18"/>
      <c r="J240" s="18"/>
      <c r="K240" s="18">
        <v>1012.77</v>
      </c>
      <c r="L240" s="19">
        <f t="shared" si="4"/>
        <v>108354.1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35403.279999999999</v>
      </c>
      <c r="G244" s="18">
        <v>24620.7</v>
      </c>
      <c r="H244" s="18">
        <v>7385.15</v>
      </c>
      <c r="I244" s="18">
        <v>23137.16</v>
      </c>
      <c r="J244" s="18">
        <v>34155</v>
      </c>
      <c r="K244" s="18"/>
      <c r="L244" s="19">
        <f t="shared" si="4"/>
        <v>124701.29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183</v>
      </c>
      <c r="I245" s="18"/>
      <c r="J245" s="18"/>
      <c r="K245" s="18"/>
      <c r="L245" s="19">
        <f>SUM(F245:K245)</f>
        <v>183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51207.86</v>
      </c>
      <c r="G247" s="41">
        <f t="shared" si="5"/>
        <v>31495.33</v>
      </c>
      <c r="H247" s="41">
        <f t="shared" si="5"/>
        <v>2259775.9499999997</v>
      </c>
      <c r="I247" s="41">
        <f t="shared" si="5"/>
        <v>23137.16</v>
      </c>
      <c r="J247" s="41">
        <f t="shared" si="5"/>
        <v>34155</v>
      </c>
      <c r="K247" s="41">
        <f t="shared" si="5"/>
        <v>1012.77</v>
      </c>
      <c r="L247" s="41">
        <f t="shared" si="5"/>
        <v>2400784.0699999998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2524323.0099999998</v>
      </c>
      <c r="G257" s="41">
        <f t="shared" si="8"/>
        <v>1296230.5500000003</v>
      </c>
      <c r="H257" s="41">
        <f t="shared" si="8"/>
        <v>2872837.5799999996</v>
      </c>
      <c r="I257" s="41">
        <f t="shared" si="8"/>
        <v>252592.45</v>
      </c>
      <c r="J257" s="41">
        <f t="shared" si="8"/>
        <v>107764.59</v>
      </c>
      <c r="K257" s="41">
        <f t="shared" si="8"/>
        <v>4493.4400000000005</v>
      </c>
      <c r="L257" s="41">
        <f t="shared" si="8"/>
        <v>7058241.6199999992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24415.45</v>
      </c>
      <c r="L263" s="19">
        <f>SUM(F263:K263)</f>
        <v>24415.45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</v>
      </c>
      <c r="L266" s="19">
        <f t="shared" si="9"/>
        <v>15000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39415.449999999997</v>
      </c>
      <c r="L270" s="41">
        <f t="shared" si="9"/>
        <v>39415.449999999997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2524323.0099999998</v>
      </c>
      <c r="G271" s="42">
        <f t="shared" si="11"/>
        <v>1296230.5500000003</v>
      </c>
      <c r="H271" s="42">
        <f t="shared" si="11"/>
        <v>2872837.5799999996</v>
      </c>
      <c r="I271" s="42">
        <f t="shared" si="11"/>
        <v>252592.45</v>
      </c>
      <c r="J271" s="42">
        <f t="shared" si="11"/>
        <v>107764.59</v>
      </c>
      <c r="K271" s="42">
        <f t="shared" si="11"/>
        <v>43908.89</v>
      </c>
      <c r="L271" s="42">
        <f t="shared" si="11"/>
        <v>7097657.0699999994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36526.15</v>
      </c>
      <c r="G276" s="18">
        <v>21039.38</v>
      </c>
      <c r="H276" s="18">
        <v>0</v>
      </c>
      <c r="I276" s="18">
        <v>16143.64</v>
      </c>
      <c r="J276" s="18">
        <v>3015</v>
      </c>
      <c r="K276" s="18"/>
      <c r="L276" s="19">
        <f>SUM(F276:K276)</f>
        <v>76724.17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16650.060000000001</v>
      </c>
      <c r="G277" s="18">
        <v>9286.4</v>
      </c>
      <c r="H277" s="18">
        <v>1984</v>
      </c>
      <c r="I277" s="18">
        <v>0</v>
      </c>
      <c r="J277" s="18">
        <v>7695.64</v>
      </c>
      <c r="K277" s="18"/>
      <c r="L277" s="19">
        <f>SUM(F277:K277)</f>
        <v>35616.1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2500</v>
      </c>
      <c r="G281" s="18">
        <v>204.37</v>
      </c>
      <c r="H281" s="18">
        <v>5162.5</v>
      </c>
      <c r="I281" s="18"/>
      <c r="J281" s="18"/>
      <c r="K281" s="18"/>
      <c r="L281" s="19">
        <f t="shared" ref="L281:L287" si="12">SUM(F281:K281)</f>
        <v>7866.87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1680</v>
      </c>
      <c r="G282" s="18">
        <v>366.4</v>
      </c>
      <c r="H282" s="18">
        <v>22185.02</v>
      </c>
      <c r="I282" s="18">
        <v>114.24</v>
      </c>
      <c r="J282" s="18">
        <v>755.59</v>
      </c>
      <c r="K282" s="18"/>
      <c r="L282" s="19">
        <f t="shared" si="12"/>
        <v>25101.250000000004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57356.210000000006</v>
      </c>
      <c r="G290" s="42">
        <f t="shared" si="13"/>
        <v>30896.55</v>
      </c>
      <c r="H290" s="42">
        <f t="shared" si="13"/>
        <v>29331.52</v>
      </c>
      <c r="I290" s="42">
        <f t="shared" si="13"/>
        <v>16257.88</v>
      </c>
      <c r="J290" s="42">
        <f t="shared" si="13"/>
        <v>11466.23</v>
      </c>
      <c r="K290" s="42">
        <f t="shared" si="13"/>
        <v>0</v>
      </c>
      <c r="L290" s="41">
        <f t="shared" si="13"/>
        <v>145308.38999999998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57356.210000000006</v>
      </c>
      <c r="G338" s="41">
        <f t="shared" si="20"/>
        <v>30896.55</v>
      </c>
      <c r="H338" s="41">
        <f t="shared" si="20"/>
        <v>29331.52</v>
      </c>
      <c r="I338" s="41">
        <f t="shared" si="20"/>
        <v>16257.88</v>
      </c>
      <c r="J338" s="41">
        <f t="shared" si="20"/>
        <v>11466.23</v>
      </c>
      <c r="K338" s="41">
        <f t="shared" si="20"/>
        <v>0</v>
      </c>
      <c r="L338" s="41">
        <f t="shared" si="20"/>
        <v>145308.38999999998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57356.210000000006</v>
      </c>
      <c r="G352" s="41">
        <f>G338</f>
        <v>30896.55</v>
      </c>
      <c r="H352" s="41">
        <f>H338</f>
        <v>29331.52</v>
      </c>
      <c r="I352" s="41">
        <f>I338</f>
        <v>16257.88</v>
      </c>
      <c r="J352" s="41">
        <f>J338</f>
        <v>11466.23</v>
      </c>
      <c r="K352" s="47">
        <f>K338+K351</f>
        <v>0</v>
      </c>
      <c r="L352" s="41">
        <f>L338+L351</f>
        <v>145308.38999999998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55157.46</v>
      </c>
      <c r="G358" s="18">
        <v>29172.73</v>
      </c>
      <c r="H358" s="18">
        <f>1595.03+750</f>
        <v>2345.0299999999997</v>
      </c>
      <c r="I358" s="18">
        <v>53197.440000000002</v>
      </c>
      <c r="J358" s="18"/>
      <c r="K358" s="18"/>
      <c r="L358" s="13">
        <f>SUM(F358:K358)</f>
        <v>139872.66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55157.46</v>
      </c>
      <c r="G362" s="47">
        <f t="shared" si="22"/>
        <v>29172.73</v>
      </c>
      <c r="H362" s="47">
        <f t="shared" si="22"/>
        <v>2345.0299999999997</v>
      </c>
      <c r="I362" s="47">
        <f t="shared" si="22"/>
        <v>53197.440000000002</v>
      </c>
      <c r="J362" s="47">
        <f t="shared" si="22"/>
        <v>0</v>
      </c>
      <c r="K362" s="47">
        <f t="shared" si="22"/>
        <v>0</v>
      </c>
      <c r="L362" s="47">
        <f t="shared" si="22"/>
        <v>139872.66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47772.26</v>
      </c>
      <c r="G367" s="18"/>
      <c r="H367" s="18"/>
      <c r="I367" s="56">
        <f>SUM(F367:H367)</f>
        <v>47772.26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5425.18</v>
      </c>
      <c r="G368" s="63"/>
      <c r="H368" s="63"/>
      <c r="I368" s="56">
        <f>SUM(F368:H368)</f>
        <v>5425.18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53197.440000000002</v>
      </c>
      <c r="G369" s="47">
        <f>SUM(G367:G368)</f>
        <v>0</v>
      </c>
      <c r="H369" s="47">
        <f>SUM(H367:H368)</f>
        <v>0</v>
      </c>
      <c r="I369" s="47">
        <f>SUM(I367:I368)</f>
        <v>53197.440000000002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15000</v>
      </c>
      <c r="H390" s="18">
        <v>161.54</v>
      </c>
      <c r="I390" s="18"/>
      <c r="J390" s="24" t="s">
        <v>289</v>
      </c>
      <c r="K390" s="24" t="s">
        <v>289</v>
      </c>
      <c r="L390" s="56">
        <f t="shared" si="25"/>
        <v>15161.54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0.24</v>
      </c>
      <c r="I392" s="18"/>
      <c r="J392" s="24" t="s">
        <v>289</v>
      </c>
      <c r="K392" s="24" t="s">
        <v>289</v>
      </c>
      <c r="L392" s="56">
        <f t="shared" si="25"/>
        <v>0.24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161.78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15161.78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24.86</v>
      </c>
      <c r="I396" s="18"/>
      <c r="J396" s="24" t="s">
        <v>289</v>
      </c>
      <c r="K396" s="24" t="s">
        <v>289</v>
      </c>
      <c r="L396" s="56">
        <f t="shared" si="26"/>
        <v>24.86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104.92</v>
      </c>
      <c r="I397" s="18"/>
      <c r="J397" s="24" t="s">
        <v>289</v>
      </c>
      <c r="K397" s="24" t="s">
        <v>289</v>
      </c>
      <c r="L397" s="56">
        <f t="shared" si="26"/>
        <v>104.92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129.78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129.78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291.56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15291.560000000001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>
        <v>40000</v>
      </c>
      <c r="L416" s="56">
        <f t="shared" si="27"/>
        <v>40000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40000</v>
      </c>
      <c r="L419" s="47">
        <f t="shared" si="28"/>
        <v>40000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40000</v>
      </c>
      <c r="L434" s="47">
        <f t="shared" si="32"/>
        <v>40000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43168.44</v>
      </c>
      <c r="G439" s="18">
        <v>134079.46</v>
      </c>
      <c r="H439" s="18"/>
      <c r="I439" s="56">
        <f t="shared" ref="I439:I445" si="33">SUM(F439:H439)</f>
        <v>177247.9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43168.44</v>
      </c>
      <c r="G446" s="13">
        <f>SUM(G439:G445)</f>
        <v>134079.46</v>
      </c>
      <c r="H446" s="13">
        <f>SUM(H439:H445)</f>
        <v>0</v>
      </c>
      <c r="I446" s="13">
        <f>SUM(I439:I445)</f>
        <v>177247.9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43168.44</v>
      </c>
      <c r="G459" s="18">
        <v>134079.46</v>
      </c>
      <c r="H459" s="18"/>
      <c r="I459" s="56">
        <f t="shared" si="34"/>
        <v>177247.9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43168.44</v>
      </c>
      <c r="G460" s="83">
        <f>SUM(G454:G459)</f>
        <v>134079.46</v>
      </c>
      <c r="H460" s="83">
        <f>SUM(H454:H459)</f>
        <v>0</v>
      </c>
      <c r="I460" s="83">
        <f>SUM(I454:I459)</f>
        <v>177247.9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43168.44</v>
      </c>
      <c r="G461" s="42">
        <f>G452+G460</f>
        <v>134079.46</v>
      </c>
      <c r="H461" s="42">
        <f>H452+H460</f>
        <v>0</v>
      </c>
      <c r="I461" s="42">
        <f>I452+I460</f>
        <v>177247.9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455074</v>
      </c>
      <c r="G465" s="18">
        <v>517.79999999999995</v>
      </c>
      <c r="H465" s="18">
        <v>1810.81</v>
      </c>
      <c r="I465" s="18"/>
      <c r="J465" s="18">
        <v>201956.34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7122905.4500000002</v>
      </c>
      <c r="G468" s="18">
        <v>139872.66</v>
      </c>
      <c r="H468" s="18">
        <v>145308.39000000001</v>
      </c>
      <c r="I468" s="18"/>
      <c r="J468" s="18">
        <v>15291.56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7122905.4500000002</v>
      </c>
      <c r="G470" s="53">
        <f>SUM(G468:G469)</f>
        <v>139872.66</v>
      </c>
      <c r="H470" s="53">
        <f>SUM(H468:H469)</f>
        <v>145308.39000000001</v>
      </c>
      <c r="I470" s="53">
        <f>SUM(I468:I469)</f>
        <v>0</v>
      </c>
      <c r="J470" s="53">
        <f>SUM(J468:J469)</f>
        <v>15291.56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7102027.32-4638+267.75</f>
        <v>7097657.0700000003</v>
      </c>
      <c r="G472" s="18">
        <v>139872.66</v>
      </c>
      <c r="H472" s="18">
        <v>145308.39000000001</v>
      </c>
      <c r="I472" s="18"/>
      <c r="J472" s="18">
        <v>40000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7097657.0700000003</v>
      </c>
      <c r="G474" s="53">
        <f>SUM(G472:G473)</f>
        <v>139872.66</v>
      </c>
      <c r="H474" s="53">
        <f>SUM(H472:H473)</f>
        <v>145308.39000000001</v>
      </c>
      <c r="I474" s="53">
        <f>SUM(I472:I473)</f>
        <v>0</v>
      </c>
      <c r="J474" s="53">
        <f>SUM(J472:J473)</f>
        <v>40000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480322.37999999989</v>
      </c>
      <c r="G476" s="53">
        <f>(G465+G470)- G474</f>
        <v>517.79999999998836</v>
      </c>
      <c r="H476" s="53">
        <f>(H465+H470)- H474</f>
        <v>1810.8099999999977</v>
      </c>
      <c r="I476" s="53">
        <f>(I465+I470)- I474</f>
        <v>0</v>
      </c>
      <c r="J476" s="53">
        <f>(J465+J470)- J474</f>
        <v>177247.9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454090</v>
      </c>
      <c r="G521" s="18">
        <v>276641.26</v>
      </c>
      <c r="H521" s="18">
        <v>150597.44</v>
      </c>
      <c r="I521" s="18"/>
      <c r="J521" s="18">
        <v>7695.64</v>
      </c>
      <c r="K521" s="18"/>
      <c r="L521" s="88">
        <f>SUM(F521:K521)</f>
        <v>889024.34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47689.8</v>
      </c>
      <c r="I523" s="18"/>
      <c r="J523" s="18"/>
      <c r="K523" s="18"/>
      <c r="L523" s="88">
        <f>SUM(F523:K523)</f>
        <v>47689.8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454090</v>
      </c>
      <c r="G524" s="108">
        <f t="shared" ref="G524:L524" si="36">SUM(G521:G523)</f>
        <v>276641.26</v>
      </c>
      <c r="H524" s="108">
        <f t="shared" si="36"/>
        <v>198287.24</v>
      </c>
      <c r="I524" s="108">
        <f t="shared" si="36"/>
        <v>0</v>
      </c>
      <c r="J524" s="108">
        <f t="shared" si="36"/>
        <v>7695.64</v>
      </c>
      <c r="K524" s="108">
        <f t="shared" si="36"/>
        <v>0</v>
      </c>
      <c r="L524" s="89">
        <f t="shared" si="36"/>
        <v>936714.14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128116.96+1680</f>
        <v>129796.96</v>
      </c>
      <c r="G526" s="18">
        <f>70101.01+366.4</f>
        <v>70467.409999999989</v>
      </c>
      <c r="H526" s="18">
        <f>4681.47+1472.12</f>
        <v>6153.59</v>
      </c>
      <c r="I526" s="18"/>
      <c r="J526" s="18"/>
      <c r="K526" s="18"/>
      <c r="L526" s="88">
        <f>SUM(F526:K526)</f>
        <v>206417.96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129796.96</v>
      </c>
      <c r="G529" s="89">
        <f t="shared" ref="G529:L529" si="37">SUM(G526:G528)</f>
        <v>70467.409999999989</v>
      </c>
      <c r="H529" s="89">
        <f t="shared" si="37"/>
        <v>6153.59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206417.96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30677.01</v>
      </c>
      <c r="I531" s="18"/>
      <c r="J531" s="18"/>
      <c r="K531" s="18"/>
      <c r="L531" s="88">
        <f>SUM(F531:K531)</f>
        <v>30677.01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16518.39</v>
      </c>
      <c r="I533" s="18"/>
      <c r="J533" s="18"/>
      <c r="K533" s="18"/>
      <c r="L533" s="88">
        <f>SUM(F533:K533)</f>
        <v>16518.39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47195.399999999994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47195.399999999994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583886.96</v>
      </c>
      <c r="G545" s="89">
        <f t="shared" ref="G545:L545" si="41">G524+G529+G534+G539+G544</f>
        <v>347108.67</v>
      </c>
      <c r="H545" s="89">
        <f t="shared" si="41"/>
        <v>251636.22999999998</v>
      </c>
      <c r="I545" s="89">
        <f t="shared" si="41"/>
        <v>0</v>
      </c>
      <c r="J545" s="89">
        <f t="shared" si="41"/>
        <v>7695.64</v>
      </c>
      <c r="K545" s="89">
        <f t="shared" si="41"/>
        <v>0</v>
      </c>
      <c r="L545" s="89">
        <f t="shared" si="41"/>
        <v>1190327.5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889024.34</v>
      </c>
      <c r="G549" s="87">
        <f>L526</f>
        <v>206417.96</v>
      </c>
      <c r="H549" s="87">
        <f>L531</f>
        <v>30677.01</v>
      </c>
      <c r="I549" s="87">
        <f>L536</f>
        <v>0</v>
      </c>
      <c r="J549" s="87">
        <f>L541</f>
        <v>0</v>
      </c>
      <c r="K549" s="87">
        <f>SUM(F549:J549)</f>
        <v>1126119.31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47689.8</v>
      </c>
      <c r="G551" s="87">
        <f>L528</f>
        <v>0</v>
      </c>
      <c r="H551" s="87">
        <f>L533</f>
        <v>16518.39</v>
      </c>
      <c r="I551" s="87">
        <f>L538</f>
        <v>0</v>
      </c>
      <c r="J551" s="87">
        <f>L543</f>
        <v>0</v>
      </c>
      <c r="K551" s="87">
        <f>SUM(F551:J551)</f>
        <v>64208.19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936714.14</v>
      </c>
      <c r="G552" s="89">
        <f t="shared" si="42"/>
        <v>206417.96</v>
      </c>
      <c r="H552" s="89">
        <f t="shared" si="42"/>
        <v>47195.399999999994</v>
      </c>
      <c r="I552" s="89">
        <f t="shared" si="42"/>
        <v>0</v>
      </c>
      <c r="J552" s="89">
        <f t="shared" si="42"/>
        <v>0</v>
      </c>
      <c r="K552" s="89">
        <f t="shared" si="42"/>
        <v>1190327.5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2101789</v>
      </c>
      <c r="I575" s="87">
        <f>SUM(F575:H575)</f>
        <v>2101789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19026.54</v>
      </c>
      <c r="G579" s="18"/>
      <c r="H579" s="18">
        <v>45191.199999999997</v>
      </c>
      <c r="I579" s="87">
        <f t="shared" si="47"/>
        <v>64217.74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80457.75</v>
      </c>
      <c r="G582" s="18"/>
      <c r="H582" s="18">
        <v>2498.6</v>
      </c>
      <c r="I582" s="87">
        <f t="shared" si="47"/>
        <v>82956.350000000006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42538.239999999998</v>
      </c>
      <c r="G583" s="18"/>
      <c r="H583" s="18"/>
      <c r="I583" s="87">
        <f t="shared" si="47"/>
        <v>42538.239999999998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187053.45-178.5</f>
        <v>186874.95</v>
      </c>
      <c r="I591" s="18"/>
      <c r="J591" s="18">
        <v>124701.29</v>
      </c>
      <c r="K591" s="104">
        <f t="shared" ref="K591:K597" si="48">SUM(H591:J591)</f>
        <v>311576.24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4080.16</v>
      </c>
      <c r="I594" s="18"/>
      <c r="J594" s="18"/>
      <c r="K594" s="104">
        <f t="shared" si="48"/>
        <v>4080.16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8421.2999999999993</v>
      </c>
      <c r="I595" s="18"/>
      <c r="J595" s="18"/>
      <c r="K595" s="104">
        <f t="shared" si="48"/>
        <v>8421.2999999999993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199376.41</v>
      </c>
      <c r="I598" s="108">
        <f>SUM(I591:I597)</f>
        <v>0</v>
      </c>
      <c r="J598" s="108">
        <f>SUM(J591:J597)</f>
        <v>124701.29</v>
      </c>
      <c r="K598" s="108">
        <f>SUM(K591:K597)</f>
        <v>324077.69999999995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85075.82</v>
      </c>
      <c r="I604" s="18"/>
      <c r="J604" s="18">
        <v>34155</v>
      </c>
      <c r="K604" s="104">
        <f>SUM(H604:J604)</f>
        <v>119230.82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85075.82</v>
      </c>
      <c r="I605" s="108">
        <f>SUM(I602:I604)</f>
        <v>0</v>
      </c>
      <c r="J605" s="108">
        <f>SUM(J602:J604)</f>
        <v>34155</v>
      </c>
      <c r="K605" s="108">
        <f>SUM(K602:K604)</f>
        <v>119230.82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3300</v>
      </c>
      <c r="G611" s="18">
        <v>737.51</v>
      </c>
      <c r="H611" s="18"/>
      <c r="I611" s="18">
        <v>562.57000000000005</v>
      </c>
      <c r="J611" s="18"/>
      <c r="K611" s="18"/>
      <c r="L611" s="88">
        <f>SUM(F611:K611)</f>
        <v>4600.08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3300</v>
      </c>
      <c r="G614" s="108">
        <f t="shared" si="49"/>
        <v>737.51</v>
      </c>
      <c r="H614" s="108">
        <f t="shared" si="49"/>
        <v>0</v>
      </c>
      <c r="I614" s="108">
        <f t="shared" si="49"/>
        <v>562.57000000000005</v>
      </c>
      <c r="J614" s="108">
        <f t="shared" si="49"/>
        <v>0</v>
      </c>
      <c r="K614" s="108">
        <f t="shared" si="49"/>
        <v>0</v>
      </c>
      <c r="L614" s="89">
        <f t="shared" si="49"/>
        <v>4600.08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544839.44000000006</v>
      </c>
      <c r="H617" s="109">
        <f>SUM(F52)</f>
        <v>544839.43999999994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84893.840000000011</v>
      </c>
      <c r="H618" s="109">
        <f>SUM(G52)</f>
        <v>84893.840000000011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24841.56</v>
      </c>
      <c r="H619" s="109">
        <f>SUM(H52)</f>
        <v>24841.56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177247.9</v>
      </c>
      <c r="H621" s="109">
        <f>SUM(J52)</f>
        <v>177247.9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480322.38</v>
      </c>
      <c r="H622" s="109">
        <f>F476</f>
        <v>480322.37999999989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517.79999999999995</v>
      </c>
      <c r="H623" s="109">
        <f>G476</f>
        <v>517.79999999998836</v>
      </c>
      <c r="I623" s="121" t="s">
        <v>102</v>
      </c>
      <c r="J623" s="109">
        <f t="shared" si="50"/>
        <v>1.1596057447604835E-11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1810.81</v>
      </c>
      <c r="H624" s="109">
        <f>H476</f>
        <v>1810.8099999999977</v>
      </c>
      <c r="I624" s="121" t="s">
        <v>103</v>
      </c>
      <c r="J624" s="109">
        <f t="shared" si="50"/>
        <v>2.2737367544323206E-12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177247.9</v>
      </c>
      <c r="H626" s="109">
        <f>J476</f>
        <v>177247.9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7122905.4500000002</v>
      </c>
      <c r="H627" s="104">
        <f>SUM(F468)</f>
        <v>7122905.4500000002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139872.66</v>
      </c>
      <c r="H628" s="104">
        <f>SUM(G468)</f>
        <v>139872.66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145308.38999999998</v>
      </c>
      <c r="H629" s="104">
        <f>SUM(H468)</f>
        <v>145308.39000000001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15291.56</v>
      </c>
      <c r="H631" s="104">
        <f>SUM(J468)</f>
        <v>15291.56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7097657.0699999994</v>
      </c>
      <c r="H632" s="104">
        <f>SUM(F472)</f>
        <v>7097657.0700000003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145308.38999999998</v>
      </c>
      <c r="H633" s="104">
        <f>SUM(H472)</f>
        <v>145308.39000000001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53197.440000000002</v>
      </c>
      <c r="H634" s="104">
        <f>I369</f>
        <v>53197.440000000002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139872.66</v>
      </c>
      <c r="H635" s="104">
        <f>SUM(G472)</f>
        <v>139872.66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15291.560000000001</v>
      </c>
      <c r="H637" s="164">
        <f>SUM(J468)</f>
        <v>15291.56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40000</v>
      </c>
      <c r="H638" s="164">
        <f>SUM(J472)</f>
        <v>40000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43168.44</v>
      </c>
      <c r="H639" s="104">
        <f>SUM(F461)</f>
        <v>43168.44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134079.46</v>
      </c>
      <c r="H640" s="104">
        <f>SUM(G461)</f>
        <v>134079.46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177247.9</v>
      </c>
      <c r="H642" s="104">
        <f>SUM(I461)</f>
        <v>177247.9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291.56</v>
      </c>
      <c r="H644" s="104">
        <f>H408</f>
        <v>291.56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</v>
      </c>
      <c r="H645" s="104">
        <f>G408</f>
        <v>15000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15291.56</v>
      </c>
      <c r="H646" s="104">
        <f>L408</f>
        <v>15291.560000000001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324077.69999999995</v>
      </c>
      <c r="H647" s="104">
        <f>L208+L226+L244</f>
        <v>324077.7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119230.82</v>
      </c>
      <c r="H648" s="104">
        <f>(J257+J338)-(J255+J336)</f>
        <v>119230.81999999999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199376.41</v>
      </c>
      <c r="H649" s="104">
        <f>H598</f>
        <v>199376.41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124701.29</v>
      </c>
      <c r="H651" s="104">
        <f>J598</f>
        <v>124701.29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24415.45</v>
      </c>
      <c r="H652" s="104">
        <f>K263+K345</f>
        <v>24415.45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</v>
      </c>
      <c r="H655" s="104">
        <f>K266+K347</f>
        <v>15000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4942638.5999999996</v>
      </c>
      <c r="G660" s="19">
        <f>(L229+L309+L359)</f>
        <v>0</v>
      </c>
      <c r="H660" s="19">
        <f>(L247+L328+L360)</f>
        <v>2400784.0699999998</v>
      </c>
      <c r="I660" s="19">
        <f>SUM(F660:H660)</f>
        <v>7343422.6699999999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69583.73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69583.73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148142.41</v>
      </c>
      <c r="G662" s="19">
        <f>(L226+L306)-(J226+J306)</f>
        <v>0</v>
      </c>
      <c r="H662" s="19">
        <f>(L244+L325)-(J244+J325)</f>
        <v>90546.29</v>
      </c>
      <c r="I662" s="19">
        <f>SUM(F662:H662)</f>
        <v>238688.7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231698.43</v>
      </c>
      <c r="G663" s="199">
        <f>SUM(G575:G587)+SUM(I602:I604)+L612</f>
        <v>0</v>
      </c>
      <c r="H663" s="199">
        <f>SUM(H575:H587)+SUM(J602:J604)+L613</f>
        <v>2183633.8000000003</v>
      </c>
      <c r="I663" s="19">
        <f>SUM(F663:H663)</f>
        <v>2415332.2300000004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4493214.0299999993</v>
      </c>
      <c r="G664" s="19">
        <f>G660-SUM(G661:G663)</f>
        <v>0</v>
      </c>
      <c r="H664" s="19">
        <f>H660-SUM(H661:H663)</f>
        <v>126603.97999999952</v>
      </c>
      <c r="I664" s="19">
        <f>I660-SUM(I661:I663)</f>
        <v>4619818.01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197.07</v>
      </c>
      <c r="G665" s="248"/>
      <c r="H665" s="248"/>
      <c r="I665" s="19">
        <f>SUM(F665:H665)</f>
        <v>197.07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22800.09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23442.52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-126603.98</v>
      </c>
      <c r="I669" s="19">
        <f>SUM(F669:H669)</f>
        <v>-126603.98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22800.09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22800.09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 BARTLETT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1332082.3799999999</v>
      </c>
      <c r="C9" s="229">
        <f>'DOE25'!G197+'DOE25'!G215+'DOE25'!G233+'DOE25'!G276+'DOE25'!G295+'DOE25'!G314</f>
        <v>615163.43000000005</v>
      </c>
    </row>
    <row r="10" spans="1:3" x14ac:dyDescent="0.2">
      <c r="A10" t="s">
        <v>779</v>
      </c>
      <c r="B10" s="240">
        <v>1192829.82</v>
      </c>
      <c r="C10" s="240">
        <f>550520.3-443.25</f>
        <v>550077.05000000005</v>
      </c>
    </row>
    <row r="11" spans="1:3" x14ac:dyDescent="0.2">
      <c r="A11" t="s">
        <v>780</v>
      </c>
      <c r="B11" s="240">
        <v>62005</v>
      </c>
      <c r="C11" s="240">
        <f>45863.92-267.75</f>
        <v>45596.17</v>
      </c>
    </row>
    <row r="12" spans="1:3" x14ac:dyDescent="0.2">
      <c r="A12" t="s">
        <v>781</v>
      </c>
      <c r="B12" s="240">
        <v>77247.56</v>
      </c>
      <c r="C12" s="240">
        <v>19490.21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1332082.3800000001</v>
      </c>
      <c r="C13" s="231">
        <f>SUM(C10:C12)</f>
        <v>615163.43000000005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454090</v>
      </c>
      <c r="C18" s="229">
        <f>'DOE25'!G198+'DOE25'!G216+'DOE25'!G234+'DOE25'!G277+'DOE25'!G296+'DOE25'!G315</f>
        <v>275213.26</v>
      </c>
    </row>
    <row r="19" spans="1:3" x14ac:dyDescent="0.2">
      <c r="A19" t="s">
        <v>779</v>
      </c>
      <c r="B19" s="240">
        <v>251014.44</v>
      </c>
      <c r="C19" s="240">
        <f>117592.79-267.75</f>
        <v>117325.04</v>
      </c>
    </row>
    <row r="20" spans="1:3" x14ac:dyDescent="0.2">
      <c r="A20" t="s">
        <v>780</v>
      </c>
      <c r="B20" s="240">
        <v>203075.56</v>
      </c>
      <c r="C20" s="240">
        <f>159048.47-535.5-624.75</f>
        <v>157888.22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454090</v>
      </c>
      <c r="C22" s="231">
        <f>SUM(C19:C21)</f>
        <v>275213.26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51850</v>
      </c>
      <c r="C36" s="235">
        <f>'DOE25'!G200+'DOE25'!G218+'DOE25'!G236+'DOE25'!G279+'DOE25'!G298+'DOE25'!G317</f>
        <v>10115.43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51850</v>
      </c>
      <c r="C39" s="240">
        <v>10115.43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51850</v>
      </c>
      <c r="C40" s="231">
        <f>SUM(C37:C39)</f>
        <v>10115.43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   BARTLETT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5065433.59</v>
      </c>
      <c r="D5" s="20">
        <f>SUM('DOE25'!L197:L200)+SUM('DOE25'!L215:L218)+SUM('DOE25'!L233:L236)-F5-G5</f>
        <v>5048316.2</v>
      </c>
      <c r="E5" s="243"/>
      <c r="F5" s="255">
        <f>SUM('DOE25'!J197:J200)+SUM('DOE25'!J215:J218)+SUM('DOE25'!J233:J236)</f>
        <v>17117.39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457089.78000000009</v>
      </c>
      <c r="D6" s="20">
        <f>'DOE25'!L202+'DOE25'!L220+'DOE25'!L238-F6-G6</f>
        <v>457089.78000000009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100832.22999999998</v>
      </c>
      <c r="D7" s="20">
        <f>'DOE25'!L203+'DOE25'!L221+'DOE25'!L239-F7-G7</f>
        <v>100832.22999999998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202216.78999999995</v>
      </c>
      <c r="D8" s="243"/>
      <c r="E8" s="20">
        <f>'DOE25'!L204+'DOE25'!L222+'DOE25'!L240-F8-G8-D9-D11</f>
        <v>199323.13999999996</v>
      </c>
      <c r="F8" s="255">
        <f>'DOE25'!J204+'DOE25'!J222+'DOE25'!J240</f>
        <v>0</v>
      </c>
      <c r="G8" s="53">
        <f>'DOE25'!K204+'DOE25'!K222+'DOE25'!K240</f>
        <v>2893.65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38351.199999999997</v>
      </c>
      <c r="D9" s="244">
        <v>38351.199999999997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5445</v>
      </c>
      <c r="D10" s="243"/>
      <c r="E10" s="244">
        <v>5445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69015.210000000006</v>
      </c>
      <c r="D11" s="244">
        <v>69015.210000000006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301759.87</v>
      </c>
      <c r="D12" s="20">
        <f>'DOE25'!L205+'DOE25'!L223+'DOE25'!L241-F12-G12</f>
        <v>297376.08</v>
      </c>
      <c r="E12" s="243"/>
      <c r="F12" s="255">
        <f>'DOE25'!J205+'DOE25'!J223+'DOE25'!J241</f>
        <v>2784</v>
      </c>
      <c r="G12" s="53">
        <f>'DOE25'!K205+'DOE25'!K223+'DOE25'!K241</f>
        <v>1599.79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499008.25</v>
      </c>
      <c r="D14" s="20">
        <f>'DOE25'!L207+'DOE25'!L225+'DOE25'!L243-F14-G14</f>
        <v>496534.05</v>
      </c>
      <c r="E14" s="243"/>
      <c r="F14" s="255">
        <f>'DOE25'!J207+'DOE25'!J225+'DOE25'!J243</f>
        <v>2474.1999999999998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324077.7</v>
      </c>
      <c r="D15" s="20">
        <f>'DOE25'!L208+'DOE25'!L226+'DOE25'!L244-F15-G15</f>
        <v>238688.7</v>
      </c>
      <c r="E15" s="243"/>
      <c r="F15" s="255">
        <f>'DOE25'!J208+'DOE25'!J226+'DOE25'!J244</f>
        <v>85389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457</v>
      </c>
      <c r="D16" s="243"/>
      <c r="E16" s="20">
        <f>'DOE25'!L209+'DOE25'!L227+'DOE25'!L245-F16-G16</f>
        <v>457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92100.4</v>
      </c>
      <c r="D29" s="20">
        <f>'DOE25'!L358+'DOE25'!L359+'DOE25'!L360-'DOE25'!I367-F29-G29</f>
        <v>92100.4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145308.38999999998</v>
      </c>
      <c r="D31" s="20">
        <f>'DOE25'!L290+'DOE25'!L309+'DOE25'!L328+'DOE25'!L333+'DOE25'!L334+'DOE25'!L335-F31-G31</f>
        <v>133842.15999999997</v>
      </c>
      <c r="E31" s="243"/>
      <c r="F31" s="255">
        <f>'DOE25'!J290+'DOE25'!J309+'DOE25'!J328+'DOE25'!J333+'DOE25'!J334+'DOE25'!J335</f>
        <v>11466.23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6972146.0100000016</v>
      </c>
      <c r="E33" s="246">
        <f>SUM(E5:E31)</f>
        <v>205225.13999999996</v>
      </c>
      <c r="F33" s="246">
        <f>SUM(F5:F31)</f>
        <v>119230.81999999999</v>
      </c>
      <c r="G33" s="246">
        <f>SUM(G5:G31)</f>
        <v>4493.4400000000005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205225.13999999996</v>
      </c>
      <c r="E35" s="249"/>
    </row>
    <row r="36" spans="2:8" ht="12" thickTop="1" x14ac:dyDescent="0.2">
      <c r="B36" t="s">
        <v>815</v>
      </c>
      <c r="D36" s="20">
        <f>D33</f>
        <v>6972146.0100000016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BARTLETT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418447.69</v>
      </c>
      <c r="D8" s="95">
        <f>'DOE25'!G9</f>
        <v>51030.35</v>
      </c>
      <c r="E8" s="95">
        <f>'DOE25'!H9</f>
        <v>0</v>
      </c>
      <c r="F8" s="95">
        <f>'DOE25'!I9</f>
        <v>0</v>
      </c>
      <c r="G8" s="95">
        <f>'DOE25'!J9</f>
        <v>177247.9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107265.94</v>
      </c>
      <c r="D11" s="95">
        <f>'DOE25'!G12</f>
        <v>23983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11743.54</v>
      </c>
      <c r="D12" s="95">
        <f>'DOE25'!G13</f>
        <v>9877.64</v>
      </c>
      <c r="E12" s="95">
        <f>'DOE25'!H13</f>
        <v>24841.56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3012.02</v>
      </c>
      <c r="D13" s="95">
        <f>'DOE25'!G14</f>
        <v>2.85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4370.25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544839.44000000006</v>
      </c>
      <c r="D18" s="41">
        <f>SUM(D8:D17)</f>
        <v>84893.840000000011</v>
      </c>
      <c r="E18" s="41">
        <f>SUM(E8:E17)</f>
        <v>24841.56</v>
      </c>
      <c r="F18" s="41">
        <f>SUM(F8:F17)</f>
        <v>0</v>
      </c>
      <c r="G18" s="41">
        <f>SUM(G8:G17)</f>
        <v>177247.9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23983</v>
      </c>
      <c r="D21" s="95">
        <f>'DOE25'!G22</f>
        <v>84330.19</v>
      </c>
      <c r="E21" s="95">
        <f>'DOE25'!H22</f>
        <v>22935.75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12439.72</v>
      </c>
      <c r="D23" s="95">
        <f>'DOE25'!G24</f>
        <v>45.85</v>
      </c>
      <c r="E23" s="95">
        <f>'DOE25'!H24</f>
        <v>95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7061.72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21032.62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64517.06</v>
      </c>
      <c r="D31" s="41">
        <f>SUM(D21:D30)</f>
        <v>84376.040000000008</v>
      </c>
      <c r="E31" s="41">
        <f>SUM(E21:E30)</f>
        <v>23030.75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25000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517.79999999999995</v>
      </c>
      <c r="E47" s="95">
        <f>'DOE25'!H48</f>
        <v>1810.81</v>
      </c>
      <c r="F47" s="95">
        <f>'DOE25'!I48</f>
        <v>0</v>
      </c>
      <c r="G47" s="95">
        <f>'DOE25'!J48</f>
        <v>177247.9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455322.38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480322.38</v>
      </c>
      <c r="D50" s="41">
        <f>SUM(D34:D49)</f>
        <v>517.79999999999995</v>
      </c>
      <c r="E50" s="41">
        <f>SUM(E34:E49)</f>
        <v>1810.81</v>
      </c>
      <c r="F50" s="41">
        <f>SUM(F34:F49)</f>
        <v>0</v>
      </c>
      <c r="G50" s="41">
        <f>SUM(G34:G49)</f>
        <v>177247.9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544839.43999999994</v>
      </c>
      <c r="D51" s="41">
        <f>D50+D31</f>
        <v>84893.840000000011</v>
      </c>
      <c r="E51" s="41">
        <f>E50+E31</f>
        <v>24841.56</v>
      </c>
      <c r="F51" s="41">
        <f>F50+F31</f>
        <v>0</v>
      </c>
      <c r="G51" s="41">
        <f>G50+G31</f>
        <v>177247.9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4176668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371256.2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5.69</v>
      </c>
      <c r="E59" s="95">
        <f>'DOE25'!H96</f>
        <v>0</v>
      </c>
      <c r="F59" s="95">
        <f>'DOE25'!I96</f>
        <v>0</v>
      </c>
      <c r="G59" s="95">
        <f>'DOE25'!J96</f>
        <v>291.56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69583.73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111497.98000000001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482754.18000000005</v>
      </c>
      <c r="D62" s="130">
        <f>SUM(D57:D61)</f>
        <v>69589.42</v>
      </c>
      <c r="E62" s="130">
        <f>SUM(E57:E61)</f>
        <v>0</v>
      </c>
      <c r="F62" s="130">
        <f>SUM(F57:F61)</f>
        <v>0</v>
      </c>
      <c r="G62" s="130">
        <f>SUM(G57:G61)</f>
        <v>291.56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4659422.18</v>
      </c>
      <c r="D63" s="22">
        <f>D56+D62</f>
        <v>69589.42</v>
      </c>
      <c r="E63" s="22">
        <f>E56+E62</f>
        <v>0</v>
      </c>
      <c r="F63" s="22">
        <f>F56+F62</f>
        <v>0</v>
      </c>
      <c r="G63" s="22">
        <f>G56+G62</f>
        <v>291.56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18308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2343755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2362063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1338.71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1338.71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2362063</v>
      </c>
      <c r="D81" s="130">
        <f>SUM(D79:D80)+D78+D70</f>
        <v>1338.71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3015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43344.03</v>
      </c>
      <c r="D88" s="95">
        <f>SUM('DOE25'!G153:G161)</f>
        <v>44529.08</v>
      </c>
      <c r="E88" s="95">
        <f>SUM('DOE25'!H153:H161)</f>
        <v>142293.38999999998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18076.240000000002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61420.270000000004</v>
      </c>
      <c r="D91" s="131">
        <f>SUM(D85:D90)</f>
        <v>44529.08</v>
      </c>
      <c r="E91" s="131">
        <f>SUM(E85:E90)</f>
        <v>145308.38999999998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24415.45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40000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40000</v>
      </c>
      <c r="D103" s="86">
        <f>SUM(D93:D102)</f>
        <v>24415.45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765</v>
      </c>
      <c r="C104" s="86">
        <f>C63+C81+C91+C103</f>
        <v>7122905.4499999993</v>
      </c>
      <c r="D104" s="86">
        <f>D63+D81+D91+D103</f>
        <v>139872.66</v>
      </c>
      <c r="E104" s="86">
        <f>E63+E81+E91+E103</f>
        <v>145308.38999999998</v>
      </c>
      <c r="F104" s="86">
        <f>F63+F81+F91+F103</f>
        <v>0</v>
      </c>
      <c r="G104" s="86">
        <f>G63+G81+G103</f>
        <v>15291.56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4070126.36</v>
      </c>
      <c r="D109" s="24" t="s">
        <v>289</v>
      </c>
      <c r="E109" s="95">
        <f>('DOE25'!L276)+('DOE25'!L295)+('DOE25'!L314)</f>
        <v>76724.17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899670.04</v>
      </c>
      <c r="D110" s="24" t="s">
        <v>289</v>
      </c>
      <c r="E110" s="95">
        <f>('DOE25'!L277)+('DOE25'!L296)+('DOE25'!L315)</f>
        <v>35616.1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95637.189999999988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5065433.5900000008</v>
      </c>
      <c r="D115" s="86">
        <f>SUM(D109:D114)</f>
        <v>0</v>
      </c>
      <c r="E115" s="86">
        <f>SUM(E109:E114)</f>
        <v>112340.26999999999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457089.78000000009</v>
      </c>
      <c r="D118" s="24" t="s">
        <v>289</v>
      </c>
      <c r="E118" s="95">
        <f>+('DOE25'!L281)+('DOE25'!L300)+('DOE25'!L319)</f>
        <v>7866.87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100832.22999999998</v>
      </c>
      <c r="D119" s="24" t="s">
        <v>289</v>
      </c>
      <c r="E119" s="95">
        <f>+('DOE25'!L282)+('DOE25'!L301)+('DOE25'!L320)</f>
        <v>25101.250000000004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309583.2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301759.87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499008.25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324077.7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457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139872.66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1992808.03</v>
      </c>
      <c r="D128" s="86">
        <f>SUM(D118:D127)</f>
        <v>139872.66</v>
      </c>
      <c r="E128" s="86">
        <f>SUM(E118:E127)</f>
        <v>32968.120000000003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40000</v>
      </c>
    </row>
    <row r="135" spans="1:7" x14ac:dyDescent="0.2">
      <c r="A135" t="s">
        <v>233</v>
      </c>
      <c r="B135" s="32" t="s">
        <v>234</v>
      </c>
      <c r="C135" s="95">
        <f>'DOE25'!L263</f>
        <v>24415.45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15161.78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129.78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-291.56000000000131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39415.449999999997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40000</v>
      </c>
    </row>
    <row r="145" spans="1:9" ht="12.75" thickTop="1" thickBot="1" x14ac:dyDescent="0.25">
      <c r="A145" s="33" t="s">
        <v>244</v>
      </c>
      <c r="C145" s="86">
        <f>(C115+C128+C144)</f>
        <v>7097657.0700000012</v>
      </c>
      <c r="D145" s="86">
        <f>(D115+D128+D144)</f>
        <v>139872.66</v>
      </c>
      <c r="E145" s="86">
        <f>(E115+E128+E144)</f>
        <v>145308.38999999998</v>
      </c>
      <c r="F145" s="86">
        <f>(F115+F128+F144)</f>
        <v>0</v>
      </c>
      <c r="G145" s="86">
        <f>(G115+G128+G144)</f>
        <v>40000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   BARTLETT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22800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22800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4146851</v>
      </c>
      <c r="D10" s="182">
        <f>ROUND((C10/$C$28)*100,1)</f>
        <v>57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935286</v>
      </c>
      <c r="D11" s="182">
        <f>ROUND((C11/$C$28)*100,1)</f>
        <v>12.9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95637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464957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125933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310040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301760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499008</v>
      </c>
      <c r="D20" s="182">
        <f t="shared" si="0"/>
        <v>6.9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324078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70289.27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7273839.2699999996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7273839.2699999996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4176668</v>
      </c>
      <c r="D35" s="182">
        <f t="shared" ref="D35:D40" si="1">ROUND((C35/$C$41)*100,1)</f>
        <v>57.4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483051.4299999997</v>
      </c>
      <c r="D36" s="182">
        <f t="shared" si="1"/>
        <v>6.6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2362063</v>
      </c>
      <c r="D37" s="182">
        <f t="shared" si="1"/>
        <v>32.5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1339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251258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7274379.4299999997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5" activePane="bottomLeft" state="frozen"/>
      <selection activeCell="F46" sqref="F46"/>
      <selection pane="bottomLeft" activeCell="C21" sqref="C21:M2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 xml:space="preserve">                  BARTLETT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30A" sheet="1" objects="1" scenarios="1"/>
  <mergeCells count="223"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AP40:AZ40"/>
    <mergeCell ref="CC40:CM40"/>
    <mergeCell ref="CP40:CZ40"/>
    <mergeCell ref="P40:Z40"/>
    <mergeCell ref="BP40:BZ40"/>
    <mergeCell ref="C43:M43"/>
    <mergeCell ref="BC40:BM40"/>
    <mergeCell ref="C41:M41"/>
    <mergeCell ref="C40:M40"/>
    <mergeCell ref="HP40:HZ40"/>
    <mergeCell ref="EC40:EM40"/>
    <mergeCell ref="IP39:IV39"/>
    <mergeCell ref="EP39:EZ39"/>
    <mergeCell ref="FC39:FM39"/>
    <mergeCell ref="FP39:FZ39"/>
    <mergeCell ref="GP39:GZ39"/>
    <mergeCell ref="IP40:IV40"/>
    <mergeCell ref="C45:M45"/>
    <mergeCell ref="DC40:DM40"/>
    <mergeCell ref="EP40:EZ40"/>
    <mergeCell ref="C44:M44"/>
    <mergeCell ref="DP40:DZ40"/>
    <mergeCell ref="IC40:IM40"/>
    <mergeCell ref="P39:Z39"/>
    <mergeCell ref="AC39:AM39"/>
    <mergeCell ref="AP39:AZ39"/>
    <mergeCell ref="HP39:HZ39"/>
    <mergeCell ref="IC39:IM39"/>
    <mergeCell ref="HC39:HM39"/>
    <mergeCell ref="DC39:DM39"/>
    <mergeCell ref="P38:Z38"/>
    <mergeCell ref="AC38:AM38"/>
    <mergeCell ref="AP38:AZ38"/>
    <mergeCell ref="HP38:HZ38"/>
    <mergeCell ref="GC38:GM38"/>
    <mergeCell ref="GP38:GZ38"/>
    <mergeCell ref="HC38:HM38"/>
    <mergeCell ref="DP39:DZ39"/>
    <mergeCell ref="IC38:IM38"/>
    <mergeCell ref="EC39:EM39"/>
    <mergeCell ref="GC39:GM39"/>
    <mergeCell ref="BP39:BZ39"/>
    <mergeCell ref="CC39:CM39"/>
    <mergeCell ref="CP39:CZ39"/>
    <mergeCell ref="BC38:BM38"/>
    <mergeCell ref="HP32:HZ32"/>
    <mergeCell ref="IC32:IM32"/>
    <mergeCell ref="IP32:IV32"/>
    <mergeCell ref="EP38:EZ38"/>
    <mergeCell ref="FC38:FM38"/>
    <mergeCell ref="FP38:FZ38"/>
    <mergeCell ref="HC32:HM32"/>
    <mergeCell ref="GP32:GZ32"/>
    <mergeCell ref="BP38:BZ38"/>
    <mergeCell ref="CC38:CM38"/>
    <mergeCell ref="FP30:FZ30"/>
    <mergeCell ref="FC31:FM31"/>
    <mergeCell ref="FP31:FZ31"/>
    <mergeCell ref="GC31:GM31"/>
    <mergeCell ref="GP31:GZ31"/>
    <mergeCell ref="HC31:HM31"/>
    <mergeCell ref="GC30:GM30"/>
    <mergeCell ref="IP38:IV38"/>
    <mergeCell ref="CP38:CZ38"/>
    <mergeCell ref="BC39:BM39"/>
    <mergeCell ref="BP31:BZ31"/>
    <mergeCell ref="CC31:CM31"/>
    <mergeCell ref="DC32:DM32"/>
    <mergeCell ref="BP32:BZ32"/>
    <mergeCell ref="CP31:CZ31"/>
    <mergeCell ref="IC31:IM31"/>
    <mergeCell ref="EC30:EM30"/>
    <mergeCell ref="EP30:EZ30"/>
    <mergeCell ref="DP32:DZ32"/>
    <mergeCell ref="EC32:EM32"/>
    <mergeCell ref="EP32:EZ32"/>
    <mergeCell ref="FC32:FM32"/>
    <mergeCell ref="FP32:FZ32"/>
    <mergeCell ref="GC32:GM32"/>
    <mergeCell ref="DC38:DM38"/>
    <mergeCell ref="DP38:DZ38"/>
    <mergeCell ref="EC38:EM38"/>
    <mergeCell ref="DC31:DM31"/>
    <mergeCell ref="DP31:DZ31"/>
    <mergeCell ref="EC31:EM31"/>
    <mergeCell ref="HP31:HZ31"/>
    <mergeCell ref="HP30:HZ30"/>
    <mergeCell ref="FC30:FM30"/>
    <mergeCell ref="AC31:AM31"/>
    <mergeCell ref="C35:M35"/>
    <mergeCell ref="C36:M36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EP31:EZ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BC31:BM31"/>
    <mergeCell ref="BC32:BM32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14:M14"/>
    <mergeCell ref="C15:M15"/>
    <mergeCell ref="C16:M16"/>
    <mergeCell ref="C17:M17"/>
    <mergeCell ref="C18:M18"/>
    <mergeCell ref="C19:M19"/>
    <mergeCell ref="C7:M7"/>
    <mergeCell ref="C8:M8"/>
    <mergeCell ref="C13:M13"/>
    <mergeCell ref="C9:M9"/>
    <mergeCell ref="C10:M10"/>
    <mergeCell ref="C11:M11"/>
    <mergeCell ref="C12:M12"/>
    <mergeCell ref="C20:M20"/>
    <mergeCell ref="DC29:DM29"/>
    <mergeCell ref="BC29:BM29"/>
    <mergeCell ref="BP29:BZ29"/>
    <mergeCell ref="CC29:CM29"/>
    <mergeCell ref="AP29:AZ29"/>
    <mergeCell ref="C21:M21"/>
    <mergeCell ref="C22:M22"/>
    <mergeCell ref="C23:M23"/>
    <mergeCell ref="C24:M24"/>
    <mergeCell ref="C25:M25"/>
    <mergeCell ref="C26:M26"/>
    <mergeCell ref="C27:M27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39:M39"/>
    <mergeCell ref="C29:M29"/>
    <mergeCell ref="AP31:AZ31"/>
    <mergeCell ref="AP32:AZ32"/>
    <mergeCell ref="P30:Z30"/>
    <mergeCell ref="AC30:AM30"/>
    <mergeCell ref="AP30:AZ30"/>
    <mergeCell ref="C33:M33"/>
    <mergeCell ref="C37:M37"/>
    <mergeCell ref="P32:Z32"/>
    <mergeCell ref="AC32:AM32"/>
    <mergeCell ref="C34:M34"/>
    <mergeCell ref="C32:M32"/>
    <mergeCell ref="C30:M30"/>
    <mergeCell ref="C31:M31"/>
    <mergeCell ref="P31:Z31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2015-09-02T12:37:42Z</cp:lastPrinted>
  <dcterms:created xsi:type="dcterms:W3CDTF">1997-12-04T19:04:30Z</dcterms:created>
  <dcterms:modified xsi:type="dcterms:W3CDTF">2015-10-23T17:32:47Z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