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358" i="1" l="1"/>
  <c r="G48" i="1"/>
  <c r="F465" i="1"/>
  <c r="H203" i="1"/>
  <c r="H207" i="1"/>
  <c r="H204" i="1"/>
  <c r="F50" i="1"/>
  <c r="D9" i="13" l="1"/>
  <c r="H202" i="1"/>
  <c r="H155" i="1"/>
  <c r="H240" i="1"/>
  <c r="G158" i="1"/>
  <c r="H575" i="1"/>
  <c r="I358" i="1"/>
  <c r="H22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6" i="10"/>
  <c r="L250" i="1"/>
  <c r="L332" i="1"/>
  <c r="L254" i="1"/>
  <c r="L268" i="1"/>
  <c r="L269" i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H476" i="1" s="1"/>
  <c r="H624" i="1" s="1"/>
  <c r="I470" i="1"/>
  <c r="I476" i="1" s="1"/>
  <c r="H625" i="1" s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H545" i="1" s="1"/>
  <c r="I534" i="1"/>
  <c r="J534" i="1"/>
  <c r="K534" i="1"/>
  <c r="L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J639" i="1" s="1"/>
  <c r="G640" i="1"/>
  <c r="H640" i="1"/>
  <c r="G641" i="1"/>
  <c r="H641" i="1"/>
  <c r="J641" i="1" s="1"/>
  <c r="G643" i="1"/>
  <c r="H643" i="1"/>
  <c r="J643" i="1" s="1"/>
  <c r="G644" i="1"/>
  <c r="G645" i="1"/>
  <c r="H645" i="1"/>
  <c r="J645" i="1" s="1"/>
  <c r="G650" i="1"/>
  <c r="G651" i="1"/>
  <c r="G652" i="1"/>
  <c r="H652" i="1"/>
  <c r="G653" i="1"/>
  <c r="H653" i="1"/>
  <c r="G654" i="1"/>
  <c r="H654" i="1"/>
  <c r="H655" i="1"/>
  <c r="F192" i="1"/>
  <c r="G257" i="1"/>
  <c r="G271" i="1" s="1"/>
  <c r="L328" i="1"/>
  <c r="A31" i="12"/>
  <c r="C91" i="2"/>
  <c r="F78" i="2"/>
  <c r="D50" i="2"/>
  <c r="G161" i="2"/>
  <c r="D91" i="2"/>
  <c r="G62" i="2"/>
  <c r="D29" i="13"/>
  <c r="C29" i="13" s="1"/>
  <c r="D19" i="13"/>
  <c r="C19" i="13" s="1"/>
  <c r="E78" i="2"/>
  <c r="H112" i="1"/>
  <c r="K605" i="1"/>
  <c r="G648" i="1" s="1"/>
  <c r="L419" i="1"/>
  <c r="I169" i="1"/>
  <c r="G552" i="1"/>
  <c r="J476" i="1"/>
  <c r="H626" i="1" s="1"/>
  <c r="G338" i="1"/>
  <c r="G352" i="1" s="1"/>
  <c r="J140" i="1"/>
  <c r="K550" i="1"/>
  <c r="G22" i="2"/>
  <c r="J552" i="1"/>
  <c r="H140" i="1"/>
  <c r="F22" i="13"/>
  <c r="C22" i="13" s="1"/>
  <c r="J640" i="1"/>
  <c r="H338" i="1"/>
  <c r="H352" i="1" s="1"/>
  <c r="H192" i="1"/>
  <c r="F552" i="1"/>
  <c r="J655" i="1"/>
  <c r="L570" i="1"/>
  <c r="I571" i="1"/>
  <c r="G36" i="2"/>
  <c r="H552" i="1" l="1"/>
  <c r="G545" i="1"/>
  <c r="J623" i="1"/>
  <c r="J624" i="1"/>
  <c r="C123" i="2"/>
  <c r="D14" i="13"/>
  <c r="C14" i="13" s="1"/>
  <c r="F476" i="1"/>
  <c r="H622" i="1" s="1"/>
  <c r="D31" i="2"/>
  <c r="D51" i="2" s="1"/>
  <c r="J651" i="1"/>
  <c r="L544" i="1"/>
  <c r="L524" i="1"/>
  <c r="K551" i="1"/>
  <c r="K549" i="1"/>
  <c r="L270" i="1"/>
  <c r="L247" i="1"/>
  <c r="H660" i="1" s="1"/>
  <c r="H664" i="1" s="1"/>
  <c r="H672" i="1" s="1"/>
  <c r="C6" i="10" s="1"/>
  <c r="C13" i="10"/>
  <c r="C12" i="10"/>
  <c r="K257" i="1"/>
  <c r="K271" i="1" s="1"/>
  <c r="I257" i="1"/>
  <c r="I271" i="1" s="1"/>
  <c r="H257" i="1"/>
  <c r="H271" i="1" s="1"/>
  <c r="L211" i="1"/>
  <c r="D5" i="13"/>
  <c r="C5" i="13" s="1"/>
  <c r="J622" i="1"/>
  <c r="J617" i="1"/>
  <c r="C18" i="2"/>
  <c r="E128" i="2"/>
  <c r="C16" i="13"/>
  <c r="E13" i="13"/>
  <c r="C13" i="13" s="1"/>
  <c r="E8" i="13"/>
  <c r="C8" i="13" s="1"/>
  <c r="D12" i="13"/>
  <c r="C12" i="13" s="1"/>
  <c r="L290" i="1"/>
  <c r="L338" i="1" s="1"/>
  <c r="L352" i="1" s="1"/>
  <c r="G633" i="1" s="1"/>
  <c r="J633" i="1" s="1"/>
  <c r="L539" i="1"/>
  <c r="K503" i="1"/>
  <c r="L382" i="1"/>
  <c r="G636" i="1" s="1"/>
  <c r="J636" i="1" s="1"/>
  <c r="K352" i="1"/>
  <c r="E109" i="2"/>
  <c r="E115" i="2" s="1"/>
  <c r="C62" i="2"/>
  <c r="C63" i="2" s="1"/>
  <c r="F661" i="1"/>
  <c r="I661" i="1" s="1"/>
  <c r="C19" i="10"/>
  <c r="C15" i="10"/>
  <c r="C81" i="2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J647" i="1" s="1"/>
  <c r="G625" i="1"/>
  <c r="J625" i="1" s="1"/>
  <c r="L614" i="1"/>
  <c r="L529" i="1"/>
  <c r="L545" i="1" s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J652" i="1"/>
  <c r="J642" i="1"/>
  <c r="G571" i="1"/>
  <c r="I434" i="1"/>
  <c r="G434" i="1"/>
  <c r="I663" i="1"/>
  <c r="C27" i="10"/>
  <c r="G635" i="1"/>
  <c r="J635" i="1" s="1"/>
  <c r="E104" i="2" l="1"/>
  <c r="K552" i="1"/>
  <c r="D31" i="13"/>
  <c r="C31" i="13" s="1"/>
  <c r="E145" i="2"/>
  <c r="L257" i="1"/>
  <c r="L271" i="1" s="1"/>
  <c r="G632" i="1" s="1"/>
  <c r="J632" i="1" s="1"/>
  <c r="H667" i="1"/>
  <c r="G667" i="1"/>
  <c r="F660" i="1"/>
  <c r="I660" i="1" s="1"/>
  <c r="I664" i="1" s="1"/>
  <c r="I672" i="1" s="1"/>
  <c r="C7" i="10" s="1"/>
  <c r="C128" i="2"/>
  <c r="C145" i="2" s="1"/>
  <c r="C104" i="2"/>
  <c r="C25" i="13"/>
  <c r="H33" i="13"/>
  <c r="C28" i="10"/>
  <c r="D23" i="10" s="1"/>
  <c r="E33" i="13"/>
  <c r="D35" i="13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64" i="1" l="1"/>
  <c r="F667" i="1" s="1"/>
  <c r="D20" i="10"/>
  <c r="D15" i="10"/>
  <c r="D25" i="10"/>
  <c r="D19" i="10"/>
  <c r="D22" i="10"/>
  <c r="D13" i="10"/>
  <c r="D11" i="10"/>
  <c r="D21" i="10"/>
  <c r="D27" i="10"/>
  <c r="D18" i="10"/>
  <c r="D17" i="10"/>
  <c r="D12" i="10"/>
  <c r="D24" i="10"/>
  <c r="D10" i="10"/>
  <c r="D26" i="10"/>
  <c r="C30" i="10"/>
  <c r="D16" i="10"/>
  <c r="I667" i="1"/>
  <c r="H656" i="1"/>
  <c r="C41" i="10"/>
  <c r="D38" i="10" s="1"/>
  <c r="F672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<sst xmlns="http://schemas.openxmlformats.org/spreadsheetml/2006/main" count="3954" uniqueCount="912">
  <si>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</si>
  <si>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</si>
  <si>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</si>
  <si>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</si>
  <si>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</si>
  <si>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</si>
  <si>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</si>
  <si>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</si>
  <si>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</si>
  <si>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</si>
  <si>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</si>
  <si>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</si>
  <si>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</si>
  <si>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</si>
  <si>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</si>
  <si>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</si>
  <si>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</si>
  <si>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</si>
  <si>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</si>
  <si>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</si>
  <si>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</si>
  <si>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</si>
  <si>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</si>
  <si>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</si>
  <si>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</si>
  <si>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</si>
  <si>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</si>
  <si>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</si>
  <si>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</si>
  <si>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</si>
  <si>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</si>
  <si>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</si>
  <si>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</si>
  <si>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</si>
  <si>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</si>
  <si>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</si>
  <si>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</si>
  <si>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</si>
  <si>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</si>
  <si>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</si>
  <si>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</si>
  <si>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</si>
  <si>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</si>
  <si>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</si>
  <si>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</si>
  <si>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</si>
  <si>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</si>
  <si>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</si>
  <si>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</si>
  <si>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</si>
  <si>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</si>
  <si>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</si>
  <si>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</si>
  <si>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</si>
  <si>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</si>
  <si>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</si>
  <si>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</si>
  <si>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</si>
  <si>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</si>
  <si>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</si>
  <si>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</si>
  <si>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</si>
  <si>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</si>
  <si>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</si>
  <si>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</si>
  <si>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</si>
  <si>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</si>
  <si>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</si>
  <si>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</si>
  <si>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</si>
  <si>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</si>
  <si>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</si>
  <si>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</si>
  <si>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</si>
  <si>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</si>
  <si>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</si>
  <si>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</si>
  <si>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</si>
  <si>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</si>
  <si>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</si>
  <si>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</si>
  <si>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</si>
  <si>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</si>
  <si>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</si>
  <si>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</si>
  <si>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</si>
  <si>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</si>
  <si>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</si>
  <si>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</si>
  <si>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</si>
  <si>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</si>
  <si>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</si>
  <si>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</si>
  <si>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</si>
  <si>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</si>
  <si>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</si>
  <si>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</si>
  <si>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</si>
  <si>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</si>
  <si>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</si>
  <si>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</si>
  <si>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</si>
  <si>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</si>
  <si>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</si>
  <si>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</si>
  <si>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</si>
  <si>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</si>
  <si>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</si>
  <si>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</si>
  <si>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</si>
  <si>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</si>
  <si>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</si>
  <si>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</si>
  <si>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</si>
  <si>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</si>
  <si>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</si>
  <si>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</si>
  <si>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</si>
  <si>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</si>
  <si>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</si>
  <si>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</si>
  <si>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</si>
  <si>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</si>
  <si>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</si>
  <si>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</si>
  <si>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</si>
  <si>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</si>
  <si>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</si>
  <si>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</si>
  <si>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</si>
  <si>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</si>
  <si>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</si>
  <si>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</si>
  <si>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</si>
  <si>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</si>
  <si>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</si>
  <si>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</si>
  <si>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</si>
  <si>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</si>
  <si>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</si>
  <si>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</si>
  <si>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</si>
  <si>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</si>
  <si>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</si>
  <si>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</si>
  <si>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</si>
  <si>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</si>
  <si>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</si>
  <si>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</si>
  <si>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</si>
  <si>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</si>
  <si>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</si>
  <si>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</si>
  <si>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</si>
  <si>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</si>
  <si>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</si>
  <si>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</si>
  <si>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</si>
  <si>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</si>
  <si>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</si>
  <si>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</si>
  <si>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</si>
  <si>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</si>
  <si>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</si>
  <si>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</si>
  <si>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</si>
  <si>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</si>
  <si>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</si>
  <si>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</si>
  <si>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</si>
  <si>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</si>
  <si>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</si>
  <si>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</si>
  <si>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</si>
  <si>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</si>
  <si>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</si>
  <si>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</si>
  <si>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</si>
  <si>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</si>
  <si>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</si>
  <si>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</si>
  <si>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</si>
  <si>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</si>
  <si>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</si>
  <si>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</si>
  <si>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</si>
  <si>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</si>
  <si>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</si>
  <si>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</si>
  <si>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</si>
  <si>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</si>
  <si>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</si>
  <si>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</si>
  <si>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</si>
  <si>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</si>
  <si>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</si>
  <si>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</si>
  <si>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</si>
  <si>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</si>
  <si>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</si>
  <si>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</si>
  <si>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</si>
  <si>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</si>
  <si>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</si>
  <si>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</si>
  <si>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</si>
  <si>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</si>
  <si>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</si>
  <si>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</si>
  <si>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</si>
  <si>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</si>
  <si>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</si>
  <si>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</si>
  <si>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</si>
  <si>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</si>
  <si>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</si>
  <si>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</si>
  <si>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</si>
  <si>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</si>
  <si>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</si>
  <si>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</si>
  <si>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</si>
  <si>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</si>
  <si>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</si>
  <si>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</si>
  <si>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</si>
  <si>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</si>
  <si>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</si>
  <si>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</si>
  <si>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</si>
  <si>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</si>
  <si>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</si>
  <si>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</si>
  <si>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</si>
  <si>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</si>
  <si>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</si>
  <si>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</si>
  <si>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</si>
  <si>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</si>
  <si>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</si>
  <si>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</si>
  <si>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</si>
  <si>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</si>
  <si>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</si>
  <si>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</si>
  <si>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</si>
  <si>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</si>
  <si>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</si>
  <si>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</si>
  <si>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</si>
  <si>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</si>
  <si>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</si>
  <si>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</si>
  <si>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</si>
  <si>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</si>
  <si>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</si>
  <si>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</si>
  <si>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</si>
  <si>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</si>
  <si>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</si>
  <si>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</si>
  <si>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</si>
  <si>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</si>
  <si>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</si>
  <si>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</si>
  <si>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</si>
  <si>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</si>
  <si>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</si>
  <si>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</si>
  <si>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</si>
  <si>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</si>
  <si>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</si>
  <si>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</si>
  <si>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</si>
  <si>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</si>
  <si>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</si>
  <si>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</si>
  <si>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</si>
  <si>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</si>
  <si>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</si>
  <si>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</si>
  <si>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</si>
  <si>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</si>
  <si>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</si>
  <si>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</si>
  <si>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</si>
  <si>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</si>
  <si>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</si>
  <si>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</si>
  <si>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</si>
  <si>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</si>
  <si>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</si>
  <si>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</si>
  <si>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</si>
  <si>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</si>
  <si>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</si>
  <si>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</si>
  <si>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</si>
  <si>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</si>
  <si>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</si>
  <si>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</si>
  <si>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</si>
  <si>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</si>
  <si>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</si>
  <si>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</si>
  <si>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</si>
  <si>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</si>
  <si>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</si>
  <si>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</si>
  <si>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</si>
  <si>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</si>
  <si>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</si>
  <si>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</si>
  <si>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</si>
  <si>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</si>
  <si>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</si>
  <si>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</si>
  <si>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</si>
  <si>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</si>
  <si>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</si>
  <si>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</si>
  <si>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</si>
  <si>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</si>
  <si>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</si>
  <si>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</si>
  <si>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</si>
  <si>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</si>
  <si>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</si>
  <si>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</si>
  <si>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</si>
  <si>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</si>
  <si>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</si>
  <si>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</si>
  <si>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</si>
  <si>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</si>
  <si>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</si>
  <si>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</si>
  <si>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</si>
  <si>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</si>
  <si>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</si>
  <si>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</si>
  <si>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</si>
  <si>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</si>
  <si>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</si>
  <si>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</si>
  <si>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</si>
  <si>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</si>
  <si>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</si>
  <si>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</si>
  <si>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</si>
  <si>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</si>
  <si>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</si>
  <si>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</si>
  <si>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</si>
  <si>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</si>
  <si>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</si>
  <si>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</si>
  <si>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</si>
  <si>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</si>
  <si>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</si>
  <si>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</si>
  <si>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</si>
  <si>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</si>
  <si>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</si>
  <si>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</si>
  <si>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</si>
  <si>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</si>
  <si>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</si>
  <si>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</si>
  <si>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</si>
  <si>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</si>
  <si>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</si>
  <si>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</si>
  <si>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</si>
  <si>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</si>
  <si>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</si>
  <si>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</si>
  <si>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</si>
  <si>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</si>
  <si>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</si>
  <si>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</si>
  <si>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</si>
  <si>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</si>
  <si>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</si>
  <si>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</si>
  <si>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</si>
  <si>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</si>
  <si>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</si>
  <si>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</si>
  <si>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</si>
  <si>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</si>
  <si>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</si>
  <si>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</si>
  <si>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</si>
  <si>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</si>
  <si>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</si>
  <si>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</si>
  <si>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</si>
  <si>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</si>
  <si>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</si>
  <si>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</si>
  <si>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</si>
  <si>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</si>
  <si>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</si>
  <si>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</si>
  <si>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</si>
  <si>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</si>
  <si>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</si>
  <si>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</si>
  <si>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</si>
  <si>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</si>
  <si>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</si>
  <si>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</si>
  <si>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</si>
  <si>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</si>
  <si>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</si>
  <si>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</si>
  <si>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</si>
  <si>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</si>
  <si>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</si>
  <si>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</si>
  <si>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</si>
  <si>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</si>
  <si>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</si>
  <si>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</si>
  <si>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</si>
  <si>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</si>
  <si>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</si>
  <si>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</si>
  <si>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</si>
  <si>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</si>
  <si>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</si>
  <si>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</si>
  <si>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</si>
  <si>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</si>
  <si>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</si>
  <si>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</si>
  <si>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</si>
  <si>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</si>
  <si>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</si>
  <si>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</si>
  <si>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</si>
  <si>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</si>
  <si>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</si>
  <si>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</si>
  <si>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</si>
  <si>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</si>
  <si>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</si>
  <si>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</si>
  <si>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</si>
  <si>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</si>
  <si>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</si>
  <si>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</si>
  <si>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</si>
  <si>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</si>
  <si>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</si>
  <si>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</si>
  <si>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</si>
  <si>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</si>
  <si>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</si>
  <si>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</si>
  <si>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</si>
  <si>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</si>
  <si>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</si>
  <si>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</si>
  <si>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</si>
  <si>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</si>
  <si>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</si>
  <si>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</si>
  <si>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</si>
  <si>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</si>
  <si>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</si>
  <si>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</si>
  <si>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</si>
  <si>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</si>
  <si>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</si>
  <si>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</si>
  <si>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</si>
  <si>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</si>
  <si>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</si>
  <si>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</si>
  <si>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</si>
  <si>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</si>
  <si>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</si>
  <si>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</si>
  <si>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</si>
  <si>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</si>
  <si>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</si>
  <si>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</si>
  <si>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</si>
  <si>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</si>
  <si>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</si>
  <si>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</si>
  <si>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</si>
  <si>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</si>
  <si>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</si>
  <si>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</si>
  <si>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</si>
  <si>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</si>
  <si>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</si>
  <si>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</si>
  <si>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</si>
  <si>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</si>
  <si>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</si>
  <si>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</si>
  <si>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</si>
  <si>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</si>
  <si>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</si>
  <si>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</si>
  <si>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</si>
  <si>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</si>
  <si>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</si>
  <si>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</si>
  <si>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</si>
  <si>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</si>
  <si>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</si>
  <si>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</si>
  <si>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</si>
  <si>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</si>
  <si>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</si>
  <si>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</si>
  <si>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</si>
  <si>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</si>
  <si>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</si>
  <si>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</si>
  <si>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</si>
  <si>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</si>
  <si>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</si>
  <si>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</si>
  <si>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</si>
  <si>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</si>
  <si>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</si>
  <si>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</si>
  <si>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</si>
  <si>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</si>
  <si>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</si>
  <si>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</si>
  <si>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</si>
  <si>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</si>
  <si>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</si>
  <si>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</si>
  <si>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</si>
  <si>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</si>
  <si>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</si>
  <si>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</si>
  <si>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</si>
  <si>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</si>
  <si>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</si>
  <si>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</si>
  <si>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</si>
  <si>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</si>
  <si>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</si>
  <si>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</si>
  <si>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</si>
  <si>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</si>
  <si>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</si>
  <si>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</si>
  <si>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</si>
  <si>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</si>
  <si>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</si>
  <si>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</si>
  <si>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</si>
  <si>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</si>
  <si>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</si>
  <si>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</si>
  <si>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</si>
  <si>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</si>
  <si>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</si>
  <si>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</si>
  <si>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</si>
  <si>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</si>
  <si>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</si>
  <si>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</si>
  <si>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</si>
  <si>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</si>
  <si>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</si>
  <si>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</si>
  <si>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</si>
  <si>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</si>
  <si>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</si>
  <si>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</si>
  <si>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</si>
  <si>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</si>
  <si>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</si>
  <si>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</si>
  <si>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</si>
  <si>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</si>
  <si>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</si>
  <si>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</si>
  <si>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</si>
  <si>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</si>
  <si>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</si>
  <si>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</si>
  <si>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</si>
  <si>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</si>
  <si>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</si>
  <si>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</si>
  <si>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</si>
  <si>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</si>
  <si>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</si>
  <si>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</si>
  <si>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</si>
  <si>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</si>
  <si>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</si>
  <si>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</si>
  <si>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</si>
  <si>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</si>
  <si>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</si>
  <si>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</si>
  <si>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</si>
  <si>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</si>
  <si>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</si>
  <si>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</si>
  <si>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</si>
  <si>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</si>
  <si>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</si>
  <si>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</si>
  <si>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</si>
  <si>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</si>
  <si>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</si>
  <si>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</si>
  <si>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</si>
  <si>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</si>
  <si>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</si>
  <si>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</si>
  <si>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</si>
  <si>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</si>
  <si>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</si>
  <si>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</si>
  <si>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</si>
  <si>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</si>
  <si>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</si>
  <si>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</si>
  <si>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</si>
  <si>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</si>
  <si>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</si>
  <si>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</si>
  <si>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</si>
  <si>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</si>
  <si>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</si>
  <si>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</si>
  <si>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</si>
  <si>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</si>
  <si>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</si>
  <si>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</si>
  <si>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</si>
  <si>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</si>
  <si>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</si>
  <si>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</si>
  <si>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</si>
  <si>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</si>
  <si>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</si>
  <si>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</si>
  <si>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</si>
  <si>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</si>
  <si>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</si>
  <si>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</si>
  <si>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</si>
  <si>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</si>
  <si>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</si>
  <si>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</si>
  <si>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</si>
  <si>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</si>
  <si>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</si>
  <si>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</si>
  <si>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</si>
  <si>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</si>
  <si>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</si>
  <si>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</si>
  <si>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</si>
  <si>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</si>
  <si>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</si>
  <si>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</si>
  <si>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</si>
  <si>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</si>
  <si>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</si>
  <si>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</si>
  <si>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</si>
  <si>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</si>
  <si>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</si>
  <si>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</si>
  <si>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</si>
  <si>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</si>
  <si>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</si>
  <si>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</si>
  <si>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</si>
  <si>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</si>
  <si>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</si>
  <si>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</si>
  <si>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</si>
  <si>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</si>
  <si>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</si>
  <si>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</si>
  <si>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</si>
  <si>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</si>
  <si>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</si>
  <si>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</si>
  <si>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</si>
  <si>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</si>
  <si>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</si>
  <si>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</si>
  <si>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</si>
  <si>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</si>
  <si>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</si>
  <si>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</si>
  <si>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</si>
  <si>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</si>
  <si>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</si>
  <si>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</si>
  <si>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</si>
  <si>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</si>
  <si>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</si>
  <si>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</si>
  <si>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</si>
  <si>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</si>
  <si>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</si>
  <si>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</si>
  <si>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</si>
  <si>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</si>
  <si>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</si>
  <si>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</si>
  <si>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</si>
  <si>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</si>
  <si>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</si>
  <si>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</si>
  <si>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</si>
  <si>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</si>
  <si>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</si>
  <si>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</si>
  <si>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</si>
  <si>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</si>
  <si>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</si>
  <si>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</si>
  <si>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</si>
  <si>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</si>
  <si>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</si>
  <si>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</si>
  <si>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</si>
  <si>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</si>
  <si>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</si>
  <si>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</si>
  <si>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</si>
  <si>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</si>
  <si>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</si>
  <si>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</si>
  <si>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</si>
  <si>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</si>
  <si>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</si>
  <si>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</si>
  <si>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</si>
  <si>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</si>
  <si>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</si>
  <si>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</si>
  <si>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</si>
  <si>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</si>
  <si>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</si>
  <si>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</si>
  <si>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</si>
  <si>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</si>
  <si>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</si>
  <si>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</si>
  <si>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</si>
  <si>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</si>
  <si>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</si>
  <si>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</si>
  <si>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</si>
  <si>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</si>
  <si>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</si>
  <si>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</si>
  <si>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</si>
  <si>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</si>
  <si>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</si>
  <si>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</si>
  <si>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</si>
  <si>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</si>
  <si>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</si>
  <si>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</si>
  <si>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</si>
  <si>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</si>
  <si>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</si>
  <si>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</si>
  <si>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</si>
  <si>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</si>
  <si>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</si>
  <si>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</si>
  <si>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</si>
  <si>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</si>
  <si>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</si>
  <si>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</si>
  <si>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</si>
  <si>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</si>
  <si>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</si>
  <si>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</si>
  <si>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</si>
  <si>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</si>
  <si>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</si>
  <si>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</si>
  <si>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</si>
  <si>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</si>
  <si>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</si>
  <si>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</si>
  <si>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</si>
  <si>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</si>
  <si>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</si>
  <si>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</si>
  <si>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</si>
  <si>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</si>
  <si>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</si>
  <si>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</si>
  <si>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</si>
  <si>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</si>
  <si>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</si>
  <si>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</si>
  <si>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</si>
  <si>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</si>
  <si>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</si>
  <si>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</si>
  <si>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</si>
  <si>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</si>
  <si>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</si>
  <si>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</si>
  <si>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</si>
  <si>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</si>
  <si>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</si>
  <si>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</si>
  <si>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</si>
  <si>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</si>
  <si>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</si>
  <si>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</si>
  <si>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</si>
  <si>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</si>
  <si>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</si>
  <si>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</si>
  <si>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</si>
  <si>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</si>
  <si>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</si>
  <si>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</si>
  <si>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</si>
  <si>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</si>
  <si>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</si>
  <si>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</si>
  <si>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</si>
  <si>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</si>
  <si>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</si>
  <si>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</si>
  <si>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</si>
  <si>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</si>
  <si>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</si>
  <si>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</si>
  <si>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</si>
  <si>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</si>
  <si>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</si>
  <si>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</si>
  <si>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</si>
  <si>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</si>
  <si>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</si>
  <si>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</si>
  <si>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</si>
  <si>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</si>
  <si>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</si>
  <si>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</si>
  <si>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</si>
  <si>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</si>
  <si>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</si>
  <si>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</si>
  <si>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</si>
  <si>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</si>
  <si>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</si>
  <si>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</si>
  <si>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</si>
  <si>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</si>
  <si>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</si>
  <si>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</si>
  <si>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</si>
  <si>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</si>
  <si>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</si>
  <si>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</si>
  <si>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</si>
  <si>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</si>
  <si>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</si>
  <si>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</si>
  <si>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</si>
  <si>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</si>
  <si>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</si>
  <si>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</si>
  <si>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</si>
  <si>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</si>
  <si>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</si>
  <si>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</si>
  <si>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</si>
  <si>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</si>
  <si>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</si>
  <si>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</si>
  <si>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</si>
  <si>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</si>
  <si>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</si>
  <si>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</si>
  <si>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</si>
  <si>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</si>
  <si>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</si>
  <si>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</si>
  <si>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</si>
  <si>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</si>
  <si>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</si>
  <si>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</si>
  <si>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</si>
  <si>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</si>
  <si>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</si>
  <si>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</si>
  <si>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</si>
  <si>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</si>
  <si>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Bath Village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</si>
</sst>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ySplit="1" topLeftCell="A630" activePane="bottomLeft" state="frozen"/>
      <selection pane="bottomLef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39</v>
      </c>
      <c r="C2" s="21">
        <v>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35409.629999999997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3811.78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3478.44</v>
      </c>
      <c r="G13" s="18">
        <v>995.47</v>
      </c>
      <c r="H13" s="18">
        <v>4658.16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1015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39903.07</v>
      </c>
      <c r="G19" s="41">
        <f>SUM(G9:G18)</f>
        <v>4807.25</v>
      </c>
      <c r="H19" s="41">
        <f>SUM(H9:H18)</f>
        <v>4658.16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352.32</v>
      </c>
      <c r="G22" s="18">
        <v>0</v>
      </c>
      <c r="H22" s="18">
        <v>3459.46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11245.35</v>
      </c>
      <c r="G24" s="18">
        <v>4738.22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0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11597.67</v>
      </c>
      <c r="G32" s="41">
        <f>SUM(G22:G31)</f>
        <v>4738.22</v>
      </c>
      <c r="H32" s="41">
        <f>SUM(H22:H31)</f>
        <v>3459.46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f>G19-G32</f>
        <v>69.029999999999745</v>
      </c>
      <c r="H48" s="18">
        <v>1198.7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F19-F32-F44</f>
        <v>8305.4000000000015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28305.4</v>
      </c>
      <c r="G51" s="41">
        <f>SUM(G35:G50)</f>
        <v>69.029999999999745</v>
      </c>
      <c r="H51" s="41">
        <f>SUM(H35:H50)</f>
        <v>1198.7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39903.07</v>
      </c>
      <c r="G52" s="41">
        <f>G51+G32</f>
        <v>4807.25</v>
      </c>
      <c r="H52" s="41">
        <f>H51+H32</f>
        <v>4658.16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1246257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1246257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30.85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13732.75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1031.8900000000001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2716.72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3779.46</v>
      </c>
      <c r="G111" s="41">
        <f>SUM(G96:G110)</f>
        <v>13732.75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1250036.46</v>
      </c>
      <c r="G112" s="41">
        <f>G60+G111</f>
        <v>13732.75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447425.59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266795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714220.59000000008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7217.99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1068.96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1722.41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8286.9500000000007</v>
      </c>
      <c r="G136" s="41">
        <f>SUM(G123:G135)</f>
        <v>1722.41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722507.54</v>
      </c>
      <c r="G140" s="41">
        <f>G121+SUM(G136:G137)</f>
        <v>1722.41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21482.14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3245.03+3170</f>
        <v>6415.0300000000007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2768.88+10038.88</f>
        <v>12807.759999999998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30007.57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30007.57</v>
      </c>
      <c r="G162" s="41">
        <f>SUM(G150:G161)</f>
        <v>12807.759999999998</v>
      </c>
      <c r="H162" s="41">
        <f>SUM(H150:H161)</f>
        <v>27897.17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202.1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30209.67</v>
      </c>
      <c r="G169" s="41">
        <f>G147+G162+SUM(G163:G168)</f>
        <v>12807.759999999998</v>
      </c>
      <c r="H169" s="41">
        <f>H147+H162+SUM(H163:H168)</f>
        <v>27897.17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33359.82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33359.82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33359.82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2002753.67</v>
      </c>
      <c r="G193" s="47">
        <f>G112+G140+G169+G192</f>
        <v>61622.74</v>
      </c>
      <c r="H193" s="47">
        <f>H112+H140+H169+H192</f>
        <v>27897.17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293323.09000000003</v>
      </c>
      <c r="G197" s="18">
        <v>96579.21</v>
      </c>
      <c r="H197" s="18">
        <v>48239.07</v>
      </c>
      <c r="I197" s="18">
        <v>18731.8</v>
      </c>
      <c r="J197" s="18">
        <v>713.26</v>
      </c>
      <c r="K197" s="18">
        <v>1367.55</v>
      </c>
      <c r="L197" s="19">
        <f>SUM(F197:K197)</f>
        <v>458953.98000000004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54329.8</v>
      </c>
      <c r="G198" s="18">
        <v>30926.639999999999</v>
      </c>
      <c r="H198" s="18">
        <v>16351.95</v>
      </c>
      <c r="I198" s="18">
        <v>616.72</v>
      </c>
      <c r="J198" s="18"/>
      <c r="K198" s="18">
        <v>483.75</v>
      </c>
      <c r="L198" s="19">
        <f>SUM(F198:K198)</f>
        <v>102708.86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4944</v>
      </c>
      <c r="G200" s="18">
        <v>921.98</v>
      </c>
      <c r="H200" s="18">
        <v>80</v>
      </c>
      <c r="I200" s="18">
        <v>736.88</v>
      </c>
      <c r="J200" s="18"/>
      <c r="K200" s="18">
        <v>172</v>
      </c>
      <c r="L200" s="19">
        <f>SUM(F200:K200)</f>
        <v>6854.86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10947.06</v>
      </c>
      <c r="G202" s="18">
        <v>882.39</v>
      </c>
      <c r="H202" s="18">
        <f>36124.74+679.52+100</f>
        <v>36904.259999999995</v>
      </c>
      <c r="I202" s="18">
        <v>2681.43</v>
      </c>
      <c r="J202" s="18"/>
      <c r="K202" s="18"/>
      <c r="L202" s="19">
        <f t="shared" ref="L202:L208" si="0">SUM(F202:K202)</f>
        <v>51415.139999999992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14760.63</v>
      </c>
      <c r="G203" s="18">
        <v>1326.55</v>
      </c>
      <c r="H203" s="18">
        <f>-73.24+10351.78</f>
        <v>10278.540000000001</v>
      </c>
      <c r="I203" s="18">
        <v>2812.27</v>
      </c>
      <c r="J203" s="18"/>
      <c r="K203" s="18"/>
      <c r="L203" s="19">
        <f t="shared" si="0"/>
        <v>29177.99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1722.55</v>
      </c>
      <c r="G204" s="18">
        <v>131.87</v>
      </c>
      <c r="H204" s="18">
        <f>57629.57</f>
        <v>57629.57</v>
      </c>
      <c r="I204" s="18">
        <v>182.1</v>
      </c>
      <c r="J204" s="18"/>
      <c r="K204" s="18">
        <v>1208.96</v>
      </c>
      <c r="L204" s="19">
        <f t="shared" si="0"/>
        <v>60875.049999999996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91122.68</v>
      </c>
      <c r="G205" s="18">
        <v>35949.29</v>
      </c>
      <c r="H205" s="18">
        <v>2694.23</v>
      </c>
      <c r="I205" s="18">
        <v>1070.56</v>
      </c>
      <c r="J205" s="18"/>
      <c r="K205" s="18">
        <v>618.45000000000005</v>
      </c>
      <c r="L205" s="19">
        <f t="shared" si="0"/>
        <v>131455.21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27088.47</v>
      </c>
      <c r="G207" s="18">
        <v>12777.95</v>
      </c>
      <c r="H207" s="18">
        <f>21207.1+1993.5</f>
        <v>23200.6</v>
      </c>
      <c r="I207" s="18">
        <v>50446.6</v>
      </c>
      <c r="J207" s="18">
        <v>1595</v>
      </c>
      <c r="K207" s="18">
        <v>75</v>
      </c>
      <c r="L207" s="19">
        <f t="shared" si="0"/>
        <v>115183.62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51778.99</v>
      </c>
      <c r="I208" s="18"/>
      <c r="J208" s="18"/>
      <c r="K208" s="18"/>
      <c r="L208" s="19">
        <f t="shared" si="0"/>
        <v>51778.99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411</v>
      </c>
      <c r="H209" s="18">
        <v>2349.4</v>
      </c>
      <c r="I209" s="18">
        <v>417.99</v>
      </c>
      <c r="J209" s="18"/>
      <c r="K209" s="18"/>
      <c r="L209" s="19">
        <f>SUM(F209:K209)</f>
        <v>3178.3900000000003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498238.28</v>
      </c>
      <c r="G211" s="41">
        <f t="shared" si="1"/>
        <v>179906.88</v>
      </c>
      <c r="H211" s="41">
        <f t="shared" si="1"/>
        <v>249506.61000000002</v>
      </c>
      <c r="I211" s="41">
        <f t="shared" si="1"/>
        <v>77696.350000000006</v>
      </c>
      <c r="J211" s="41">
        <f t="shared" si="1"/>
        <v>2308.2600000000002</v>
      </c>
      <c r="K211" s="41">
        <f t="shared" si="1"/>
        <v>3925.71</v>
      </c>
      <c r="L211" s="41">
        <f t="shared" si="1"/>
        <v>1011582.0900000001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186805</v>
      </c>
      <c r="I215" s="18"/>
      <c r="J215" s="18"/>
      <c r="K215" s="18"/>
      <c r="L215" s="19">
        <f>SUM(F215:K215)</f>
        <v>186805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19887.64</v>
      </c>
      <c r="I216" s="18"/>
      <c r="J216" s="18"/>
      <c r="K216" s="18"/>
      <c r="L216" s="19">
        <f>SUM(F216:K216)</f>
        <v>19887.64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487.6</v>
      </c>
      <c r="G222" s="18">
        <v>37.520000000000003</v>
      </c>
      <c r="H222" s="18">
        <f>16266.69+425.17+338.63</f>
        <v>17030.490000000002</v>
      </c>
      <c r="I222" s="18">
        <v>19.05</v>
      </c>
      <c r="J222" s="18"/>
      <c r="K222" s="18">
        <v>342.16</v>
      </c>
      <c r="L222" s="19">
        <f t="shared" si="2"/>
        <v>17916.82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27039.48</v>
      </c>
      <c r="I226" s="18"/>
      <c r="J226" s="18"/>
      <c r="K226" s="18"/>
      <c r="L226" s="19">
        <f t="shared" si="2"/>
        <v>27039.48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487.6</v>
      </c>
      <c r="G229" s="41">
        <f>SUM(G215:G228)</f>
        <v>37.520000000000003</v>
      </c>
      <c r="H229" s="41">
        <f>SUM(H215:H228)</f>
        <v>250762.61000000002</v>
      </c>
      <c r="I229" s="41">
        <f>SUM(I215:I228)</f>
        <v>19.05</v>
      </c>
      <c r="J229" s="41">
        <f>SUM(J215:J228)</f>
        <v>0</v>
      </c>
      <c r="K229" s="41">
        <f t="shared" si="3"/>
        <v>342.16</v>
      </c>
      <c r="L229" s="41">
        <f t="shared" si="3"/>
        <v>251648.94000000003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557408.74</v>
      </c>
      <c r="I233" s="18"/>
      <c r="J233" s="18"/>
      <c r="K233" s="18"/>
      <c r="L233" s="19">
        <f>SUM(F233:K233)</f>
        <v>557408.74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95115.65</v>
      </c>
      <c r="I234" s="18"/>
      <c r="J234" s="18"/>
      <c r="K234" s="18"/>
      <c r="L234" s="19">
        <f>SUM(F234:K234)</f>
        <v>95115.65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20728.439999999999</v>
      </c>
      <c r="I235" s="18"/>
      <c r="J235" s="18"/>
      <c r="K235" s="18"/>
      <c r="L235" s="19">
        <f>SUM(F235:K235)</f>
        <v>20728.439999999999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890.05</v>
      </c>
      <c r="I236" s="18"/>
      <c r="J236" s="18"/>
      <c r="K236" s="18"/>
      <c r="L236" s="19">
        <f>SUM(F236:K236)</f>
        <v>890.05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8235.2199999999993</v>
      </c>
      <c r="I238" s="18"/>
      <c r="J238" s="18"/>
      <c r="K238" s="18"/>
      <c r="L238" s="19">
        <f t="shared" ref="L238:L244" si="4">SUM(F238:K238)</f>
        <v>8235.2199999999993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1039.8499999999999</v>
      </c>
      <c r="G240" s="18">
        <v>79.430000000000007</v>
      </c>
      <c r="H240" s="18">
        <f>34702.24+906.97+722.4-284.85</f>
        <v>36046.76</v>
      </c>
      <c r="I240" s="18">
        <v>40.630000000000003</v>
      </c>
      <c r="J240" s="18"/>
      <c r="K240" s="18">
        <v>729.93</v>
      </c>
      <c r="L240" s="19">
        <f t="shared" si="4"/>
        <v>37936.6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50647.11</v>
      </c>
      <c r="I244" s="18"/>
      <c r="J244" s="18"/>
      <c r="K244" s="18"/>
      <c r="L244" s="19">
        <f t="shared" si="4"/>
        <v>50647.11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1039.8499999999999</v>
      </c>
      <c r="G247" s="41">
        <f t="shared" si="5"/>
        <v>79.430000000000007</v>
      </c>
      <c r="H247" s="41">
        <f t="shared" si="5"/>
        <v>769071.97</v>
      </c>
      <c r="I247" s="41">
        <f t="shared" si="5"/>
        <v>40.630000000000003</v>
      </c>
      <c r="J247" s="41">
        <f t="shared" si="5"/>
        <v>0</v>
      </c>
      <c r="K247" s="41">
        <f t="shared" si="5"/>
        <v>729.93</v>
      </c>
      <c r="L247" s="41">
        <f t="shared" si="5"/>
        <v>770961.80999999994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499765.73</v>
      </c>
      <c r="G257" s="41">
        <f t="shared" si="8"/>
        <v>180023.83</v>
      </c>
      <c r="H257" s="41">
        <f t="shared" si="8"/>
        <v>1269341.19</v>
      </c>
      <c r="I257" s="41">
        <f t="shared" si="8"/>
        <v>77756.030000000013</v>
      </c>
      <c r="J257" s="41">
        <f t="shared" si="8"/>
        <v>2308.2600000000002</v>
      </c>
      <c r="K257" s="41">
        <f t="shared" si="8"/>
        <v>4997.8</v>
      </c>
      <c r="L257" s="41">
        <f t="shared" si="8"/>
        <v>2034192.8399999999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33359.82</v>
      </c>
      <c r="L263" s="19">
        <f>SUM(F263:K263)</f>
        <v>33359.82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33359.82</v>
      </c>
      <c r="L270" s="41">
        <f t="shared" si="9"/>
        <v>33359.82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499765.73</v>
      </c>
      <c r="G271" s="42">
        <f t="shared" si="11"/>
        <v>180023.83</v>
      </c>
      <c r="H271" s="42">
        <f t="shared" si="11"/>
        <v>1269341.19</v>
      </c>
      <c r="I271" s="42">
        <f t="shared" si="11"/>
        <v>77756.030000000013</v>
      </c>
      <c r="J271" s="42">
        <f t="shared" si="11"/>
        <v>2308.2600000000002</v>
      </c>
      <c r="K271" s="42">
        <f t="shared" si="11"/>
        <v>38357.620000000003</v>
      </c>
      <c r="L271" s="42">
        <f t="shared" si="11"/>
        <v>2067552.66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14608.7</v>
      </c>
      <c r="G276" s="18">
        <v>6336.44</v>
      </c>
      <c r="H276" s="18"/>
      <c r="I276" s="18"/>
      <c r="J276" s="18"/>
      <c r="K276" s="18"/>
      <c r="L276" s="19">
        <f>SUM(F276:K276)</f>
        <v>20945.14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6415.03</v>
      </c>
      <c r="H282" s="18"/>
      <c r="I282" s="18"/>
      <c r="J282" s="18"/>
      <c r="K282" s="18"/>
      <c r="L282" s="19">
        <f t="shared" si="12"/>
        <v>6415.03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537</v>
      </c>
      <c r="L283" s="19">
        <f t="shared" si="12"/>
        <v>537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14608.7</v>
      </c>
      <c r="G290" s="42">
        <f t="shared" si="13"/>
        <v>12751.47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537</v>
      </c>
      <c r="L290" s="41">
        <f t="shared" si="13"/>
        <v>27897.17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14608.7</v>
      </c>
      <c r="G338" s="41">
        <f t="shared" si="20"/>
        <v>12751.47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537</v>
      </c>
      <c r="L338" s="41">
        <f t="shared" si="20"/>
        <v>27897.17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14608.7</v>
      </c>
      <c r="G352" s="41">
        <f>G338</f>
        <v>12751.47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537</v>
      </c>
      <c r="L352" s="41">
        <f>L338+L351</f>
        <v>27897.17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13333.02</v>
      </c>
      <c r="G358" s="18">
        <v>2963.42</v>
      </c>
      <c r="H358" s="18">
        <f>36599.28+873.96-69.03</f>
        <v>37404.21</v>
      </c>
      <c r="I358" s="18">
        <f>7784.03+69.03</f>
        <v>7853.0599999999995</v>
      </c>
      <c r="J358" s="18"/>
      <c r="K358" s="18"/>
      <c r="L358" s="13">
        <f>SUM(F358:K358)</f>
        <v>61553.71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13333.02</v>
      </c>
      <c r="G362" s="47">
        <f t="shared" si="22"/>
        <v>2963.42</v>
      </c>
      <c r="H362" s="47">
        <f t="shared" si="22"/>
        <v>37404.21</v>
      </c>
      <c r="I362" s="47">
        <f t="shared" si="22"/>
        <v>7853.0599999999995</v>
      </c>
      <c r="J362" s="47">
        <f t="shared" si="22"/>
        <v>0</v>
      </c>
      <c r="K362" s="47">
        <f t="shared" si="22"/>
        <v>0</v>
      </c>
      <c r="L362" s="47">
        <f t="shared" si="22"/>
        <v>61553.71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7853.06</v>
      </c>
      <c r="G367" s="18"/>
      <c r="H367" s="18"/>
      <c r="I367" s="56">
        <f>SUM(F367:H367)</f>
        <v>7853.06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7853.06</v>
      </c>
      <c r="G369" s="47">
        <f>SUM(G367:G368)</f>
        <v>0</v>
      </c>
      <c r="H369" s="47">
        <f>SUM(H367:H368)</f>
        <v>0</v>
      </c>
      <c r="I369" s="47">
        <f>SUM(I367:I368)</f>
        <v>7853.06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604+284.85+92216-0.46</f>
        <v>93104.39</v>
      </c>
      <c r="G465" s="18"/>
      <c r="H465" s="18">
        <v>1198.7</v>
      </c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2002753.67</v>
      </c>
      <c r="G468" s="18">
        <v>61622.74</v>
      </c>
      <c r="H468" s="18">
        <v>27897.17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2002753.67</v>
      </c>
      <c r="G470" s="53">
        <f>SUM(G468:G469)</f>
        <v>61622.74</v>
      </c>
      <c r="H470" s="53">
        <f>SUM(H468:H469)</f>
        <v>27897.17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2067552.66</v>
      </c>
      <c r="G472" s="18">
        <v>61553.71</v>
      </c>
      <c r="H472" s="18">
        <v>27897.17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2067552.66</v>
      </c>
      <c r="G474" s="53">
        <f>SUM(G472:G473)</f>
        <v>61553.71</v>
      </c>
      <c r="H474" s="53">
        <f>SUM(H472:H473)</f>
        <v>27897.17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28305.399999999907</v>
      </c>
      <c r="G476" s="53">
        <f>(G465+G470)- G474</f>
        <v>69.029999999998836</v>
      </c>
      <c r="H476" s="53">
        <f>(H465+H470)- H474</f>
        <v>1198.7000000000007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54329.8</v>
      </c>
      <c r="G521" s="18">
        <v>30904.83</v>
      </c>
      <c r="H521" s="18">
        <v>16351.95</v>
      </c>
      <c r="I521" s="18">
        <v>616.72</v>
      </c>
      <c r="J521" s="18"/>
      <c r="K521" s="18">
        <v>483.75</v>
      </c>
      <c r="L521" s="88">
        <f>SUM(F521:K521)</f>
        <v>102687.05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19887.64</v>
      </c>
      <c r="I522" s="18"/>
      <c r="J522" s="18"/>
      <c r="K522" s="18"/>
      <c r="L522" s="88">
        <f>SUM(F522:K522)</f>
        <v>19887.64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95115.65</v>
      </c>
      <c r="I523" s="18"/>
      <c r="J523" s="18"/>
      <c r="K523" s="18"/>
      <c r="L523" s="88">
        <f>SUM(F523:K523)</f>
        <v>95115.65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54329.8</v>
      </c>
      <c r="G524" s="108">
        <f t="shared" ref="G524:L524" si="36">SUM(G521:G523)</f>
        <v>30904.83</v>
      </c>
      <c r="H524" s="108">
        <f t="shared" si="36"/>
        <v>131355.24</v>
      </c>
      <c r="I524" s="108">
        <f t="shared" si="36"/>
        <v>616.72</v>
      </c>
      <c r="J524" s="108">
        <f t="shared" si="36"/>
        <v>0</v>
      </c>
      <c r="K524" s="108">
        <f t="shared" si="36"/>
        <v>483.75</v>
      </c>
      <c r="L524" s="89">
        <f t="shared" si="36"/>
        <v>217690.34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21232.62</v>
      </c>
      <c r="I526" s="18"/>
      <c r="J526" s="18"/>
      <c r="K526" s="18"/>
      <c r="L526" s="88">
        <f>SUM(F526:K526)</f>
        <v>21232.62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8235.2199999999993</v>
      </c>
      <c r="I528" s="18"/>
      <c r="J528" s="18"/>
      <c r="K528" s="18"/>
      <c r="L528" s="88">
        <f>SUM(F528:K528)</f>
        <v>8235.2199999999993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29467.839999999997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29467.839999999997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13638</v>
      </c>
      <c r="I531" s="18"/>
      <c r="J531" s="18"/>
      <c r="K531" s="18"/>
      <c r="L531" s="88">
        <f>SUM(F531:K531)</f>
        <v>13638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3409</v>
      </c>
      <c r="I532" s="18"/>
      <c r="J532" s="18"/>
      <c r="K532" s="18"/>
      <c r="L532" s="88">
        <f>SUM(F532:K532)</f>
        <v>3409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7306</v>
      </c>
      <c r="I533" s="18"/>
      <c r="J533" s="18"/>
      <c r="K533" s="18"/>
      <c r="L533" s="88">
        <f>SUM(F533:K533)</f>
        <v>7306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24353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24353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960</v>
      </c>
      <c r="I541" s="18"/>
      <c r="J541" s="18"/>
      <c r="K541" s="18"/>
      <c r="L541" s="88">
        <f>SUM(F541:K541)</f>
        <v>960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11997.07</v>
      </c>
      <c r="I542" s="18"/>
      <c r="J542" s="18"/>
      <c r="K542" s="18"/>
      <c r="L542" s="88">
        <f>SUM(F542:K542)</f>
        <v>11997.07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21184.33</v>
      </c>
      <c r="I543" s="18"/>
      <c r="J543" s="18"/>
      <c r="K543" s="18"/>
      <c r="L543" s="88">
        <f>SUM(F543:K543)</f>
        <v>21184.33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34141.4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34141.4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54329.8</v>
      </c>
      <c r="G545" s="89">
        <f t="shared" ref="G545:L545" si="41">G524+G529+G534+G539+G544</f>
        <v>30904.83</v>
      </c>
      <c r="H545" s="89">
        <f t="shared" si="41"/>
        <v>219317.47999999998</v>
      </c>
      <c r="I545" s="89">
        <f t="shared" si="41"/>
        <v>616.72</v>
      </c>
      <c r="J545" s="89">
        <f t="shared" si="41"/>
        <v>0</v>
      </c>
      <c r="K545" s="89">
        <f t="shared" si="41"/>
        <v>483.75</v>
      </c>
      <c r="L545" s="89">
        <f t="shared" si="41"/>
        <v>305652.58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102687.05</v>
      </c>
      <c r="G549" s="87">
        <f>L526</f>
        <v>21232.62</v>
      </c>
      <c r="H549" s="87">
        <f>L531</f>
        <v>13638</v>
      </c>
      <c r="I549" s="87">
        <f>L536</f>
        <v>0</v>
      </c>
      <c r="J549" s="87">
        <f>L541</f>
        <v>960</v>
      </c>
      <c r="K549" s="87">
        <f>SUM(F549:J549)</f>
        <v>138517.66999999998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19887.64</v>
      </c>
      <c r="G550" s="87">
        <f>L527</f>
        <v>0</v>
      </c>
      <c r="H550" s="87">
        <f>L532</f>
        <v>3409</v>
      </c>
      <c r="I550" s="87">
        <f>L537</f>
        <v>0</v>
      </c>
      <c r="J550" s="87">
        <f>L542</f>
        <v>11997.07</v>
      </c>
      <c r="K550" s="87">
        <f>SUM(F550:J550)</f>
        <v>35293.71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95115.65</v>
      </c>
      <c r="G551" s="87">
        <f>L528</f>
        <v>8235.2199999999993</v>
      </c>
      <c r="H551" s="87">
        <f>L533</f>
        <v>7306</v>
      </c>
      <c r="I551" s="87">
        <f>L538</f>
        <v>0</v>
      </c>
      <c r="J551" s="87">
        <f>L543</f>
        <v>21184.33</v>
      </c>
      <c r="K551" s="87">
        <f>SUM(F551:J551)</f>
        <v>131841.20000000001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217690.34</v>
      </c>
      <c r="G552" s="89">
        <f t="shared" si="42"/>
        <v>29467.839999999997</v>
      </c>
      <c r="H552" s="89">
        <f t="shared" si="42"/>
        <v>24353</v>
      </c>
      <c r="I552" s="89">
        <f t="shared" si="42"/>
        <v>0</v>
      </c>
      <c r="J552" s="89">
        <f t="shared" si="42"/>
        <v>34141.4</v>
      </c>
      <c r="K552" s="89">
        <f t="shared" si="42"/>
        <v>305652.57999999996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186805</v>
      </c>
      <c r="H575" s="18">
        <f>439283.74+31213.15</f>
        <v>470496.89</v>
      </c>
      <c r="I575" s="87">
        <f>SUM(F575:H575)</f>
        <v>657301.89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118125</v>
      </c>
      <c r="I576" s="87">
        <f t="shared" ref="I576:I587" si="47">SUM(F576:H576)</f>
        <v>118125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31213.15</v>
      </c>
      <c r="I579" s="87">
        <f t="shared" si="47"/>
        <v>31213.15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19887.64</v>
      </c>
      <c r="H582" s="18">
        <v>63902.5</v>
      </c>
      <c r="I582" s="87">
        <f t="shared" si="47"/>
        <v>83790.14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20728.439999999999</v>
      </c>
      <c r="I585" s="87">
        <f t="shared" si="47"/>
        <v>20728.439999999999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47090.94</v>
      </c>
      <c r="I591" s="18">
        <v>15042.41</v>
      </c>
      <c r="J591" s="18">
        <v>28432.26</v>
      </c>
      <c r="K591" s="104">
        <f t="shared" ref="K591:K597" si="48">SUM(H591:J591)</f>
        <v>90565.61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960</v>
      </c>
      <c r="I592" s="18">
        <v>11997.07</v>
      </c>
      <c r="J592" s="18">
        <v>21184.33</v>
      </c>
      <c r="K592" s="104">
        <f t="shared" si="48"/>
        <v>34141.4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1030.52</v>
      </c>
      <c r="K593" s="104">
        <f t="shared" si="48"/>
        <v>1030.52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3728.05</v>
      </c>
      <c r="I595" s="18"/>
      <c r="J595" s="18"/>
      <c r="K595" s="104">
        <f t="shared" si="48"/>
        <v>3728.05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51778.990000000005</v>
      </c>
      <c r="I598" s="108">
        <f>SUM(I591:I597)</f>
        <v>27039.48</v>
      </c>
      <c r="J598" s="108">
        <f>SUM(J591:J597)</f>
        <v>50647.109999999993</v>
      </c>
      <c r="K598" s="108">
        <f>SUM(K591:K597)</f>
        <v>129465.58000000002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2308.2600000000002</v>
      </c>
      <c r="I604" s="18"/>
      <c r="J604" s="18"/>
      <c r="K604" s="104">
        <f>SUM(H604:J604)</f>
        <v>2308.2600000000002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2308.2600000000002</v>
      </c>
      <c r="I605" s="108">
        <f>SUM(I602:I604)</f>
        <v>0</v>
      </c>
      <c r="J605" s="108">
        <f>SUM(J602:J604)</f>
        <v>0</v>
      </c>
      <c r="K605" s="108">
        <f>SUM(K602:K604)</f>
        <v>2308.2600000000002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4344</v>
      </c>
      <c r="G611" s="18">
        <v>876.08</v>
      </c>
      <c r="H611" s="18"/>
      <c r="I611" s="18">
        <v>54.43</v>
      </c>
      <c r="J611" s="18"/>
      <c r="K611" s="18"/>
      <c r="L611" s="88">
        <f>SUM(F611:K611)</f>
        <v>5274.51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890.05</v>
      </c>
      <c r="I613" s="18"/>
      <c r="J613" s="18"/>
      <c r="K613" s="18"/>
      <c r="L613" s="88">
        <f>SUM(F613:K613)</f>
        <v>890.05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4344</v>
      </c>
      <c r="G614" s="108">
        <f t="shared" si="49"/>
        <v>876.08</v>
      </c>
      <c r="H614" s="108">
        <f t="shared" si="49"/>
        <v>890.05</v>
      </c>
      <c r="I614" s="108">
        <f t="shared" si="49"/>
        <v>54.43</v>
      </c>
      <c r="J614" s="108">
        <f t="shared" si="49"/>
        <v>0</v>
      </c>
      <c r="K614" s="108">
        <f t="shared" si="49"/>
        <v>0</v>
      </c>
      <c r="L614" s="89">
        <f t="shared" si="49"/>
        <v>6164.56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39903.07</v>
      </c>
      <c r="H617" s="109">
        <f>SUM(F52)</f>
        <v>39903.07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4807.25</v>
      </c>
      <c r="H618" s="109">
        <f>SUM(G52)</f>
        <v>4807.25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4658.16</v>
      </c>
      <c r="H619" s="109">
        <f>SUM(H52)</f>
        <v>4658.16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28305.4</v>
      </c>
      <c r="H622" s="109">
        <f>F476</f>
        <v>28305.399999999907</v>
      </c>
      <c r="I622" s="121" t="s">
        <v>101</v>
      </c>
      <c r="J622" s="109">
        <f t="shared" ref="J622:J655" si="50">G622-H622</f>
        <v>9.4587448984384537E-11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69.029999999999745</v>
      </c>
      <c r="H623" s="109">
        <f>G476</f>
        <v>69.029999999998836</v>
      </c>
      <c r="I623" s="121" t="s">
        <v>102</v>
      </c>
      <c r="J623" s="109">
        <f t="shared" si="50"/>
        <v>9.0949470177292824E-13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1198.7</v>
      </c>
      <c r="H624" s="109">
        <f>H476</f>
        <v>1198.7000000000007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2002753.67</v>
      </c>
      <c r="H627" s="104">
        <f>SUM(F468)</f>
        <v>2002753.67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61622.74</v>
      </c>
      <c r="H628" s="104">
        <f>SUM(G468)</f>
        <v>61622.74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27897.17</v>
      </c>
      <c r="H629" s="104">
        <f>SUM(H468)</f>
        <v>27897.17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2067552.66</v>
      </c>
      <c r="H632" s="104">
        <f>SUM(F472)</f>
        <v>2067552.66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27897.17</v>
      </c>
      <c r="H633" s="104">
        <f>SUM(H472)</f>
        <v>27897.17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7853.0599999999995</v>
      </c>
      <c r="H634" s="104">
        <f>I369</f>
        <v>7853.06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61553.71</v>
      </c>
      <c r="H635" s="104">
        <f>SUM(G472)</f>
        <v>61553.71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129465.58000000002</v>
      </c>
      <c r="H647" s="104">
        <f>L208+L226+L244</f>
        <v>129465.58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2308.2600000000002</v>
      </c>
      <c r="H648" s="104">
        <f>(J257+J338)-(J255+J336)</f>
        <v>2308.2600000000002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51778.99</v>
      </c>
      <c r="H649" s="104">
        <f>H598</f>
        <v>51778.990000000005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27039.48</v>
      </c>
      <c r="H650" s="104">
        <f>I598</f>
        <v>27039.48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50647.11</v>
      </c>
      <c r="H651" s="104">
        <f>J598</f>
        <v>50647.109999999993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33359.82</v>
      </c>
      <c r="H652" s="104">
        <f>K263+K345</f>
        <v>33359.82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1101032.9700000002</v>
      </c>
      <c r="G660" s="19">
        <f>(L229+L309+L359)</f>
        <v>251648.94000000003</v>
      </c>
      <c r="H660" s="19">
        <f>(L247+L328+L360)</f>
        <v>770961.80999999994</v>
      </c>
      <c r="I660" s="19">
        <f>SUM(F660:H660)</f>
        <v>2123643.7200000002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13732.75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13732.75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51778.99</v>
      </c>
      <c r="G662" s="19">
        <f>(L226+L306)-(J226+J306)</f>
        <v>27039.48</v>
      </c>
      <c r="H662" s="19">
        <f>(L244+L325)-(J244+J325)</f>
        <v>50647.11</v>
      </c>
      <c r="I662" s="19">
        <f>SUM(F662:H662)</f>
        <v>129465.58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7582.77</v>
      </c>
      <c r="G663" s="199">
        <f>SUM(G575:G587)+SUM(I602:I604)+L612</f>
        <v>206692.64</v>
      </c>
      <c r="H663" s="199">
        <f>SUM(H575:H587)+SUM(J602:J604)+L613</f>
        <v>705356.03</v>
      </c>
      <c r="I663" s="19">
        <f>SUM(F663:H663)</f>
        <v>919631.44000000006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1027938.4600000002</v>
      </c>
      <c r="G664" s="19">
        <f>G660-SUM(G661:G663)</f>
        <v>17916.820000000007</v>
      </c>
      <c r="H664" s="19">
        <f>H660-SUM(H661:H663)</f>
        <v>14958.669999999925</v>
      </c>
      <c r="I664" s="19">
        <f>I660-SUM(I661:I663)</f>
        <v>1060813.9500000002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69.569999999999993</v>
      </c>
      <c r="G665" s="248"/>
      <c r="H665" s="248"/>
      <c r="I665" s="19">
        <f>SUM(F665:H665)</f>
        <v>69.569999999999993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14775.6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15248.15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-17916.82</v>
      </c>
      <c r="H669" s="18">
        <v>-14958.68</v>
      </c>
      <c r="I669" s="19">
        <f>SUM(F669:H669)</f>
        <v>-32875.5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14775.6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14775.6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C4" sqref="C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Bath Village School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307931.79000000004</v>
      </c>
      <c r="C9" s="229">
        <f>'DOE25'!G197+'DOE25'!G215+'DOE25'!G233+'DOE25'!G276+'DOE25'!G295+'DOE25'!G314</f>
        <v>102915.65000000001</v>
      </c>
    </row>
    <row r="10" spans="1:3" x14ac:dyDescent="0.2">
      <c r="A10" t="s">
        <v>779</v>
      </c>
      <c r="B10" s="240">
        <v>299515.74</v>
      </c>
      <c r="C10" s="240">
        <v>102915.65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8416.0499999999993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307931.78999999998</v>
      </c>
      <c r="C13" s="231">
        <f>SUM(C10:C12)</f>
        <v>102915.65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54329.8</v>
      </c>
      <c r="C18" s="229">
        <f>'DOE25'!G198+'DOE25'!G216+'DOE25'!G234+'DOE25'!G277+'DOE25'!G296+'DOE25'!G315</f>
        <v>30926.639999999999</v>
      </c>
    </row>
    <row r="19" spans="1:3" x14ac:dyDescent="0.2">
      <c r="A19" t="s">
        <v>779</v>
      </c>
      <c r="B19" s="240">
        <v>21913.16</v>
      </c>
      <c r="C19" s="240">
        <v>30926.639999999999</v>
      </c>
    </row>
    <row r="20" spans="1:3" x14ac:dyDescent="0.2">
      <c r="A20" t="s">
        <v>780</v>
      </c>
      <c r="B20" s="240">
        <v>30616.34</v>
      </c>
      <c r="C20" s="240"/>
    </row>
    <row r="21" spans="1:3" x14ac:dyDescent="0.2">
      <c r="A21" t="s">
        <v>781</v>
      </c>
      <c r="B21" s="240">
        <v>1800.3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54329.8</v>
      </c>
      <c r="C22" s="231">
        <f>SUM(C19:C21)</f>
        <v>30926.639999999999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4944</v>
      </c>
      <c r="C36" s="235">
        <f>'DOE25'!G200+'DOE25'!G218+'DOE25'!G236+'DOE25'!G279+'DOE25'!G298+'DOE25'!G317</f>
        <v>921.98</v>
      </c>
    </row>
    <row r="37" spans="1:3" x14ac:dyDescent="0.2">
      <c r="A37" t="s">
        <v>779</v>
      </c>
      <c r="B37" s="240">
        <v>3840</v>
      </c>
      <c r="C37" s="240">
        <v>921.98</v>
      </c>
    </row>
    <row r="38" spans="1:3" x14ac:dyDescent="0.2">
      <c r="A38" t="s">
        <v>780</v>
      </c>
      <c r="B38" s="240">
        <v>504</v>
      </c>
      <c r="C38" s="240"/>
    </row>
    <row r="39" spans="1:3" x14ac:dyDescent="0.2">
      <c r="A39" t="s">
        <v>781</v>
      </c>
      <c r="B39" s="240">
        <v>600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4944</v>
      </c>
      <c r="C40" s="231">
        <f>SUM(C37:C39)</f>
        <v>921.98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Bath Village School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1449353.2200000002</v>
      </c>
      <c r="D5" s="20">
        <f>SUM('DOE25'!L197:L200)+SUM('DOE25'!L215:L218)+SUM('DOE25'!L233:L236)-F5-G5</f>
        <v>1446616.6600000001</v>
      </c>
      <c r="E5" s="243"/>
      <c r="F5" s="255">
        <f>SUM('DOE25'!J197:J200)+SUM('DOE25'!J215:J218)+SUM('DOE25'!J233:J236)</f>
        <v>713.26</v>
      </c>
      <c r="G5" s="53">
        <f>SUM('DOE25'!K197:K200)+SUM('DOE25'!K215:K218)+SUM('DOE25'!K233:K236)</f>
        <v>2023.3</v>
      </c>
      <c r="H5" s="259"/>
    </row>
    <row r="6" spans="1:9" x14ac:dyDescent="0.2">
      <c r="A6" s="32">
        <v>2100</v>
      </c>
      <c r="B6" t="s">
        <v>801</v>
      </c>
      <c r="C6" s="245">
        <f t="shared" si="0"/>
        <v>59650.359999999993</v>
      </c>
      <c r="D6" s="20">
        <f>'DOE25'!L202+'DOE25'!L220+'DOE25'!L238-F6-G6</f>
        <v>59650.359999999993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29177.99</v>
      </c>
      <c r="D7" s="20">
        <f>'DOE25'!L203+'DOE25'!L221+'DOE25'!L239-F7-G7</f>
        <v>29177.99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51324.34</v>
      </c>
      <c r="D8" s="243"/>
      <c r="E8" s="20">
        <f>'DOE25'!L204+'DOE25'!L222+'DOE25'!L240-F8-G8-D9-D11</f>
        <v>49043.289999999994</v>
      </c>
      <c r="F8" s="255">
        <f>'DOE25'!J204+'DOE25'!J222+'DOE25'!J240</f>
        <v>0</v>
      </c>
      <c r="G8" s="53">
        <f>'DOE25'!K204+'DOE25'!K222+'DOE25'!K240</f>
        <v>2281.0500000000002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8585.9399999999987</v>
      </c>
      <c r="D9" s="244">
        <f>7034.48+592.12+959.34</f>
        <v>8585.9399999999987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5235.5</v>
      </c>
      <c r="D10" s="243"/>
      <c r="E10" s="244">
        <v>5235.5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56818.19</v>
      </c>
      <c r="D11" s="244">
        <v>56818.19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131455.21</v>
      </c>
      <c r="D12" s="20">
        <f>'DOE25'!L205+'DOE25'!L223+'DOE25'!L241-F12-G12</f>
        <v>130836.76</v>
      </c>
      <c r="E12" s="243"/>
      <c r="F12" s="255">
        <f>'DOE25'!J205+'DOE25'!J223+'DOE25'!J241</f>
        <v>0</v>
      </c>
      <c r="G12" s="53">
        <f>'DOE25'!K205+'DOE25'!K223+'DOE25'!K241</f>
        <v>618.45000000000005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115183.62</v>
      </c>
      <c r="D14" s="20">
        <f>'DOE25'!L207+'DOE25'!L225+'DOE25'!L243-F14-G14</f>
        <v>113513.62</v>
      </c>
      <c r="E14" s="243"/>
      <c r="F14" s="255">
        <f>'DOE25'!J207+'DOE25'!J225+'DOE25'!J243</f>
        <v>1595</v>
      </c>
      <c r="G14" s="53">
        <f>'DOE25'!K207+'DOE25'!K225+'DOE25'!K243</f>
        <v>75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129465.58</v>
      </c>
      <c r="D15" s="20">
        <f>'DOE25'!L208+'DOE25'!L226+'DOE25'!L244-F15-G15</f>
        <v>129465.58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3178.3900000000003</v>
      </c>
      <c r="D16" s="243"/>
      <c r="E16" s="20">
        <f>'DOE25'!L209+'DOE25'!L227+'DOE25'!L245-F16-G16</f>
        <v>3178.3900000000003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53700.65</v>
      </c>
      <c r="D29" s="20">
        <f>'DOE25'!L358+'DOE25'!L359+'DOE25'!L360-'DOE25'!I367-F29-G29</f>
        <v>53700.65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27897.17</v>
      </c>
      <c r="D31" s="20">
        <f>'DOE25'!L290+'DOE25'!L309+'DOE25'!L328+'DOE25'!L333+'DOE25'!L334+'DOE25'!L335-F31-G31</f>
        <v>27360.17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537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2055725.92</v>
      </c>
      <c r="E33" s="246">
        <f>SUM(E5:E31)</f>
        <v>57457.179999999993</v>
      </c>
      <c r="F33" s="246">
        <f>SUM(F5:F31)</f>
        <v>2308.2600000000002</v>
      </c>
      <c r="G33" s="246">
        <f>SUM(G5:G31)</f>
        <v>5534.8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57457.179999999993</v>
      </c>
      <c r="E35" s="249"/>
    </row>
    <row r="36" spans="2:8" ht="12" thickTop="1" x14ac:dyDescent="0.2">
      <c r="B36" t="s">
        <v>815</v>
      </c>
      <c r="D36" s="20">
        <f>D33</f>
        <v>2055725.92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C8" sqref="C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 Village School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35409.629999999997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3811.78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3478.44</v>
      </c>
      <c r="D12" s="95">
        <f>'DOE25'!G13</f>
        <v>995.47</v>
      </c>
      <c r="E12" s="95">
        <f>'DOE25'!H13</f>
        <v>4658.16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1015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39903.07</v>
      </c>
      <c r="D18" s="41">
        <f>SUM(D8:D17)</f>
        <v>4807.25</v>
      </c>
      <c r="E18" s="41">
        <f>SUM(E8:E17)</f>
        <v>4658.16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352.32</v>
      </c>
      <c r="D21" s="95">
        <f>'DOE25'!G22</f>
        <v>0</v>
      </c>
      <c r="E21" s="95">
        <f>'DOE25'!H22</f>
        <v>3459.46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11245.35</v>
      </c>
      <c r="D23" s="95">
        <f>'DOE25'!G24</f>
        <v>4738.22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11597.67</v>
      </c>
      <c r="D31" s="41">
        <f>SUM(D21:D30)</f>
        <v>4738.22</v>
      </c>
      <c r="E31" s="41">
        <f>SUM(E21:E30)</f>
        <v>3459.46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69.029999999999745</v>
      </c>
      <c r="E47" s="95">
        <f>'DOE25'!H48</f>
        <v>1198.7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8305.4000000000015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28305.4</v>
      </c>
      <c r="D50" s="41">
        <f>SUM(D34:D49)</f>
        <v>69.029999999999745</v>
      </c>
      <c r="E50" s="41">
        <f>SUM(E34:E49)</f>
        <v>1198.7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39903.07</v>
      </c>
      <c r="D51" s="41">
        <f>D50+D31</f>
        <v>4807.25</v>
      </c>
      <c r="E51" s="41">
        <f>E50+E31</f>
        <v>4658.16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1246257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30.85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13732.75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3748.6099999999997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3779.4599999999996</v>
      </c>
      <c r="D62" s="130">
        <f>SUM(D57:D61)</f>
        <v>13732.75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1250036.46</v>
      </c>
      <c r="D63" s="22">
        <f>D56+D62</f>
        <v>13732.75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447425.59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266795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714220.59000000008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8286.9500000000007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1722.41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8286.9500000000007</v>
      </c>
      <c r="D78" s="130">
        <f>SUM(D72:D77)</f>
        <v>1722.41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722507.54</v>
      </c>
      <c r="D81" s="130">
        <f>SUM(D79:D80)+D78+D70</f>
        <v>1722.41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30007.57</v>
      </c>
      <c r="D88" s="95">
        <f>SUM('DOE25'!G153:G161)</f>
        <v>12807.759999999998</v>
      </c>
      <c r="E88" s="95">
        <f>SUM('DOE25'!H153:H161)</f>
        <v>27897.17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202.1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30209.67</v>
      </c>
      <c r="D91" s="131">
        <f>SUM(D85:D90)</f>
        <v>12807.759999999998</v>
      </c>
      <c r="E91" s="131">
        <f>SUM(E85:E90)</f>
        <v>27897.17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33359.82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33359.82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2002753.67</v>
      </c>
      <c r="D104" s="86">
        <f>D63+D81+D91+D103</f>
        <v>61622.74</v>
      </c>
      <c r="E104" s="86">
        <f>E63+E81+E91+E103</f>
        <v>27897.17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1203167.72</v>
      </c>
      <c r="D109" s="24" t="s">
        <v>289</v>
      </c>
      <c r="E109" s="95">
        <f>('DOE25'!L276)+('DOE25'!L295)+('DOE25'!L314)</f>
        <v>20945.14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217712.15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20728.439999999999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7744.91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1449353.2199999997</v>
      </c>
      <c r="D115" s="86">
        <f>SUM(D109:D114)</f>
        <v>0</v>
      </c>
      <c r="E115" s="86">
        <f>SUM(E109:E114)</f>
        <v>20945.14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59650.359999999993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29177.99</v>
      </c>
      <c r="D119" s="24" t="s">
        <v>289</v>
      </c>
      <c r="E119" s="95">
        <f>+('DOE25'!L282)+('DOE25'!L301)+('DOE25'!L320)</f>
        <v>6415.03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116728.47</v>
      </c>
      <c r="D120" s="24" t="s">
        <v>289</v>
      </c>
      <c r="E120" s="95">
        <f>+('DOE25'!L283)+('DOE25'!L302)+('DOE25'!L321)</f>
        <v>537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131455.21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115183.62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129465.58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3178.3900000000003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61553.71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584839.62</v>
      </c>
      <c r="D128" s="86">
        <f>SUM(D118:D127)</f>
        <v>61553.71</v>
      </c>
      <c r="E128" s="86">
        <f>SUM(E118:E127)</f>
        <v>6952.03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33359.82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33359.82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2067552.66</v>
      </c>
      <c r="D145" s="86">
        <f>(D115+D128+D144)</f>
        <v>61553.71</v>
      </c>
      <c r="E145" s="86">
        <f>(E115+E128+E144)</f>
        <v>27897.17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Bath Village School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14776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14776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1224113</v>
      </c>
      <c r="D10" s="182">
        <f>ROUND((C10/$C$28)*100,1)</f>
        <v>58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217712</v>
      </c>
      <c r="D11" s="182">
        <f>ROUND((C11/$C$28)*100,1)</f>
        <v>10.3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20728</v>
      </c>
      <c r="D12" s="182">
        <f>ROUND((C12/$C$28)*100,1)</f>
        <v>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7745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59650</v>
      </c>
      <c r="D15" s="182">
        <f t="shared" ref="D15:D27" si="0">ROUND((C15/$C$28)*100,1)</f>
        <v>2.8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35593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120444</v>
      </c>
      <c r="D17" s="182">
        <f t="shared" si="0"/>
        <v>5.7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131455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115184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129466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47821.25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2109911.25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2109911.25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1246257</v>
      </c>
      <c r="D35" s="182">
        <f t="shared" ref="D35:D40" si="1">ROUND((C35/$C$41)*100,1)</f>
        <v>60.9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3779.4599999999627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714221</v>
      </c>
      <c r="D37" s="182">
        <f t="shared" si="1"/>
        <v>34.9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10009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70915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2045181.46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Bath Village School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2015-09-02T19:13:06Z</cp:lastPrinted>
  <dcterms:created xsi:type="dcterms:W3CDTF">1997-12-04T19:04:30Z</dcterms:created>
  <dcterms:modified xsi:type="dcterms:W3CDTF">2015-10-23T17:35:35Z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