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G651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L250" i="1"/>
  <c r="L332" i="1"/>
  <c r="L254" i="1"/>
  <c r="L268" i="1"/>
  <c r="L269" i="1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E78" i="2" s="1"/>
  <c r="E81" i="2" s="1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E114" i="2"/>
  <c r="D115" i="2"/>
  <c r="F115" i="2"/>
  <c r="G115" i="2"/>
  <c r="E118" i="2"/>
  <c r="E120" i="2"/>
  <c r="E121" i="2"/>
  <c r="E122" i="2"/>
  <c r="E123" i="2"/>
  <c r="E124" i="2"/>
  <c r="C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G157" i="2" s="1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J640" i="1" s="1"/>
  <c r="H640" i="1"/>
  <c r="G641" i="1"/>
  <c r="H641" i="1"/>
  <c r="G643" i="1"/>
  <c r="H643" i="1"/>
  <c r="G644" i="1"/>
  <c r="G645" i="1"/>
  <c r="H645" i="1"/>
  <c r="G649" i="1"/>
  <c r="G650" i="1"/>
  <c r="G652" i="1"/>
  <c r="H652" i="1"/>
  <c r="G653" i="1"/>
  <c r="H653" i="1"/>
  <c r="G654" i="1"/>
  <c r="H654" i="1"/>
  <c r="H655" i="1"/>
  <c r="F192" i="1"/>
  <c r="C26" i="10"/>
  <c r="L328" i="1"/>
  <c r="L351" i="1"/>
  <c r="A31" i="12"/>
  <c r="C70" i="2"/>
  <c r="A40" i="12"/>
  <c r="D62" i="2"/>
  <c r="D63" i="2" s="1"/>
  <c r="D18" i="13"/>
  <c r="C18" i="13" s="1"/>
  <c r="D17" i="13"/>
  <c r="C17" i="13" s="1"/>
  <c r="F78" i="2"/>
  <c r="F81" i="2" s="1"/>
  <c r="D50" i="2"/>
  <c r="F18" i="2"/>
  <c r="E103" i="2"/>
  <c r="D91" i="2"/>
  <c r="E31" i="2"/>
  <c r="G62" i="2"/>
  <c r="D19" i="13"/>
  <c r="C19" i="13" s="1"/>
  <c r="L427" i="1"/>
  <c r="H112" i="1"/>
  <c r="F112" i="1"/>
  <c r="J641" i="1"/>
  <c r="J571" i="1"/>
  <c r="K571" i="1"/>
  <c r="L433" i="1"/>
  <c r="L419" i="1"/>
  <c r="I169" i="1"/>
  <c r="H169" i="1"/>
  <c r="J643" i="1"/>
  <c r="J476" i="1"/>
  <c r="H626" i="1" s="1"/>
  <c r="H476" i="1"/>
  <c r="H624" i="1" s="1"/>
  <c r="J624" i="1" s="1"/>
  <c r="F476" i="1"/>
  <c r="H622" i="1" s="1"/>
  <c r="I476" i="1"/>
  <c r="H625" i="1" s="1"/>
  <c r="G338" i="1"/>
  <c r="G352" i="1" s="1"/>
  <c r="F169" i="1"/>
  <c r="J140" i="1"/>
  <c r="G22" i="2"/>
  <c r="K545" i="1"/>
  <c r="C29" i="10"/>
  <c r="L401" i="1"/>
  <c r="C139" i="2" s="1"/>
  <c r="L393" i="1"/>
  <c r="C138" i="2" s="1"/>
  <c r="F22" i="13"/>
  <c r="H571" i="1"/>
  <c r="L560" i="1"/>
  <c r="J545" i="1"/>
  <c r="G192" i="1"/>
  <c r="H192" i="1"/>
  <c r="C35" i="10"/>
  <c r="L309" i="1"/>
  <c r="E16" i="13"/>
  <c r="C16" i="13" s="1"/>
  <c r="J655" i="1"/>
  <c r="J645" i="1"/>
  <c r="L570" i="1"/>
  <c r="J636" i="1"/>
  <c r="G36" i="2"/>
  <c r="L565" i="1"/>
  <c r="C22" i="13"/>
  <c r="J644" i="1" l="1"/>
  <c r="J639" i="1"/>
  <c r="G161" i="2"/>
  <c r="G164" i="2"/>
  <c r="G156" i="2"/>
  <c r="K503" i="1"/>
  <c r="K500" i="1"/>
  <c r="A13" i="12"/>
  <c r="J552" i="1"/>
  <c r="I552" i="1"/>
  <c r="L539" i="1"/>
  <c r="L544" i="1"/>
  <c r="H552" i="1"/>
  <c r="K551" i="1"/>
  <c r="I545" i="1"/>
  <c r="G545" i="1"/>
  <c r="L534" i="1"/>
  <c r="K550" i="1"/>
  <c r="H545" i="1"/>
  <c r="K549" i="1"/>
  <c r="L524" i="1"/>
  <c r="F552" i="1"/>
  <c r="J649" i="1"/>
  <c r="K598" i="1"/>
  <c r="G647" i="1" s="1"/>
  <c r="J651" i="1"/>
  <c r="C81" i="2"/>
  <c r="C62" i="2"/>
  <c r="C63" i="2" s="1"/>
  <c r="I369" i="1"/>
  <c r="H634" i="1" s="1"/>
  <c r="J634" i="1" s="1"/>
  <c r="D127" i="2"/>
  <c r="D128" i="2" s="1"/>
  <c r="D145" i="2" s="1"/>
  <c r="F661" i="1"/>
  <c r="D29" i="13"/>
  <c r="C29" i="13" s="1"/>
  <c r="H661" i="1"/>
  <c r="L362" i="1"/>
  <c r="G635" i="1" s="1"/>
  <c r="J635" i="1" s="1"/>
  <c r="G661" i="1"/>
  <c r="D18" i="2"/>
  <c r="J625" i="1"/>
  <c r="E125" i="2"/>
  <c r="H338" i="1"/>
  <c r="H352" i="1" s="1"/>
  <c r="E119" i="2"/>
  <c r="E128" i="2" s="1"/>
  <c r="F338" i="1"/>
  <c r="F352" i="1" s="1"/>
  <c r="E115" i="2"/>
  <c r="J338" i="1"/>
  <c r="J352" i="1" s="1"/>
  <c r="L290" i="1"/>
  <c r="C10" i="10"/>
  <c r="C132" i="2"/>
  <c r="C32" i="10"/>
  <c r="H25" i="13"/>
  <c r="L256" i="1"/>
  <c r="H257" i="1"/>
  <c r="H271" i="1" s="1"/>
  <c r="J257" i="1"/>
  <c r="J271" i="1" s="1"/>
  <c r="K257" i="1"/>
  <c r="K271" i="1" s="1"/>
  <c r="D7" i="13"/>
  <c r="C7" i="13" s="1"/>
  <c r="I257" i="1"/>
  <c r="I271" i="1" s="1"/>
  <c r="L247" i="1"/>
  <c r="H660" i="1" s="1"/>
  <c r="C19" i="10"/>
  <c r="C121" i="2"/>
  <c r="C17" i="10"/>
  <c r="C16" i="10"/>
  <c r="C21" i="10"/>
  <c r="C20" i="10"/>
  <c r="C122" i="2"/>
  <c r="D12" i="13"/>
  <c r="C12" i="13" s="1"/>
  <c r="C18" i="10"/>
  <c r="E8" i="13"/>
  <c r="C8" i="13" s="1"/>
  <c r="L229" i="1"/>
  <c r="G660" i="1" s="1"/>
  <c r="C120" i="2"/>
  <c r="C118" i="2"/>
  <c r="C110" i="2"/>
  <c r="G257" i="1"/>
  <c r="G271" i="1" s="1"/>
  <c r="F257" i="1"/>
  <c r="F271" i="1" s="1"/>
  <c r="D15" i="13"/>
  <c r="C15" i="13" s="1"/>
  <c r="C124" i="2"/>
  <c r="H647" i="1"/>
  <c r="J647" i="1" s="1"/>
  <c r="F662" i="1"/>
  <c r="I662" i="1" s="1"/>
  <c r="D14" i="13"/>
  <c r="C14" i="13" s="1"/>
  <c r="C123" i="2"/>
  <c r="E13" i="13"/>
  <c r="C13" i="13" s="1"/>
  <c r="C119" i="2"/>
  <c r="C15" i="10"/>
  <c r="D6" i="13"/>
  <c r="C6" i="13" s="1"/>
  <c r="C11" i="10"/>
  <c r="D5" i="13"/>
  <c r="C5" i="13" s="1"/>
  <c r="C109" i="2"/>
  <c r="L211" i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L545" i="1" l="1"/>
  <c r="K552" i="1"/>
  <c r="C104" i="2"/>
  <c r="I661" i="1"/>
  <c r="C27" i="10"/>
  <c r="C28" i="10" s="1"/>
  <c r="D19" i="10" s="1"/>
  <c r="G664" i="1"/>
  <c r="G667" i="1" s="1"/>
  <c r="H664" i="1"/>
  <c r="H667" i="1" s="1"/>
  <c r="D31" i="13"/>
  <c r="C31" i="13" s="1"/>
  <c r="E145" i="2"/>
  <c r="L338" i="1"/>
  <c r="L352" i="1" s="1"/>
  <c r="G633" i="1" s="1"/>
  <c r="J633" i="1" s="1"/>
  <c r="F660" i="1"/>
  <c r="F664" i="1" s="1"/>
  <c r="F672" i="1" s="1"/>
  <c r="C4" i="10" s="1"/>
  <c r="C144" i="2"/>
  <c r="C25" i="13"/>
  <c r="H33" i="13"/>
  <c r="H648" i="1"/>
  <c r="J648" i="1" s="1"/>
  <c r="C115" i="2"/>
  <c r="C128" i="2"/>
  <c r="E33" i="13"/>
  <c r="D35" i="13" s="1"/>
  <c r="L257" i="1"/>
  <c r="L271" i="1" s="1"/>
  <c r="G632" i="1" s="1"/>
  <c r="J632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72" i="1"/>
  <c r="C6" i="10" s="1"/>
  <c r="I660" i="1"/>
  <c r="I664" i="1" s="1"/>
  <c r="I672" i="1" s="1"/>
  <c r="C7" i="10" s="1"/>
  <c r="C145" i="2"/>
  <c r="D21" i="10"/>
  <c r="D18" i="10"/>
  <c r="D13" i="10"/>
  <c r="D12" i="10"/>
  <c r="D27" i="10"/>
  <c r="D11" i="10"/>
  <c r="D22" i="10"/>
  <c r="D10" i="10"/>
  <c r="D17" i="10"/>
  <c r="D24" i="10"/>
  <c r="D26" i="10"/>
  <c r="C30" i="10"/>
  <c r="D16" i="10"/>
  <c r="D23" i="10"/>
  <c r="D20" i="10"/>
  <c r="D15" i="10"/>
  <c r="D25" i="10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<sst xmlns="http://schemas.openxmlformats.org/spreadsheetml/2006/main" count="3987" uniqueCount="945">
  <si>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</si>
  <si>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</si>
  <si>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</si>
  <si>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</si>
  <si>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</si>
  <si>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</si>
  <si>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</si>
  <si>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</si>
  <si>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</si>
  <si>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</si>
  <si>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</si>
  <si>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</si>
  <si>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</si>
  <si>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</si>
  <si>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</si>
  <si>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</si>
  <si>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</si>
  <si>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</si>
  <si>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</si>
  <si>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</si>
  <si>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</si>
  <si>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</si>
  <si>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</si>
  <si>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</si>
  <si>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</si>
  <si>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</si>
  <si>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</si>
  <si>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</si>
  <si>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</si>
  <si>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</si>
  <si>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</si>
  <si>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</si>
  <si>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</si>
  <si>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</si>
  <si>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</si>
  <si>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</si>
  <si>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</si>
  <si>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</si>
  <si>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</si>
  <si>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</si>
  <si>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</si>
  <si>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</si>
  <si>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</si>
  <si>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</si>
  <si>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</si>
  <si>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</si>
  <si>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</si>
  <si>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</si>
  <si>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</si>
  <si>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</si>
  <si>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</si>
  <si>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</si>
  <si>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</si>
  <si>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</si>
  <si>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</si>
  <si>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</si>
  <si>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</si>
  <si>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</si>
  <si>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</si>
  <si>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</si>
  <si>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</si>
  <si>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</si>
  <si>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</si>
  <si>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</si>
  <si>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</si>
  <si>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</si>
  <si>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</si>
  <si>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</si>
  <si>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</si>
  <si>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</si>
  <si>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</si>
  <si>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</si>
  <si>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</si>
  <si>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</si>
  <si>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</si>
  <si>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</si>
  <si>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</si>
  <si>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</si>
  <si>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</si>
  <si>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</si>
  <si>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</si>
  <si>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</si>
  <si>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</si>
  <si>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</si>
  <si>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</si>
  <si>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</si>
  <si>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</si>
  <si>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</si>
  <si>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</si>
  <si>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</si>
  <si>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</si>
  <si>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</si>
  <si>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</si>
  <si>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</si>
  <si>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</si>
  <si>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</si>
  <si>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</si>
  <si>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</si>
  <si>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</si>
  <si>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</si>
  <si>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</si>
  <si>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</si>
  <si>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</si>
  <si>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</si>
  <si>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</si>
  <si>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</si>
  <si>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</si>
  <si>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</si>
  <si>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</si>
  <si>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</si>
  <si>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</si>
  <si>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</si>
  <si>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</si>
  <si>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</si>
  <si>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</si>
  <si>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</si>
  <si>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</si>
  <si>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</si>
  <si>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</si>
  <si>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</si>
  <si>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</si>
  <si>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</si>
  <si>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</si>
  <si>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</si>
  <si>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</si>
  <si>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</si>
  <si>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</si>
  <si>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</si>
  <si>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</si>
  <si>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</si>
  <si>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</si>
  <si>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</si>
  <si>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</si>
  <si>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</si>
  <si>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</si>
  <si>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</si>
  <si>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</si>
  <si>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</si>
  <si>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</si>
  <si>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</si>
  <si>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</si>
  <si>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</si>
  <si>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</si>
  <si>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</si>
  <si>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</si>
  <si>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</si>
  <si>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</si>
  <si>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</si>
  <si>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</si>
  <si>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</si>
  <si>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</si>
  <si>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</si>
  <si>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</si>
  <si>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</si>
  <si>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</si>
  <si>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</si>
  <si>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</si>
  <si>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</si>
  <si>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</si>
  <si>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</si>
  <si>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</si>
  <si>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</si>
  <si>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</si>
  <si>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</si>
  <si>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</si>
  <si>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</si>
  <si>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</si>
  <si>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</si>
  <si>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</si>
  <si>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</si>
  <si>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</si>
  <si>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</si>
  <si>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</si>
  <si>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</si>
  <si>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</si>
  <si>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</si>
  <si>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</si>
  <si>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</si>
  <si>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</si>
  <si>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</si>
  <si>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</si>
  <si>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</si>
  <si>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</si>
  <si>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</si>
  <si>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</si>
  <si>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</si>
  <si>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</si>
  <si>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</si>
  <si>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</si>
  <si>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</si>
  <si>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</si>
  <si>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</si>
  <si>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</si>
  <si>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</si>
  <si>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</si>
  <si>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</si>
  <si>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</si>
  <si>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</si>
  <si>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</si>
  <si>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</si>
  <si>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</si>
  <si>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</si>
  <si>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</si>
  <si>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</si>
  <si>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</si>
  <si>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</si>
  <si>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</si>
  <si>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</si>
  <si>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</si>
  <si>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</si>
  <si>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</si>
  <si>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</si>
  <si>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</si>
  <si>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</si>
  <si>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</si>
  <si>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</si>
  <si>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</si>
  <si>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</si>
  <si>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</si>
  <si>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</si>
  <si>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</si>
  <si>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</si>
  <si>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</si>
  <si>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</si>
  <si>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</si>
  <si>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</si>
  <si>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</si>
  <si>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</si>
  <si>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</si>
  <si>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</si>
  <si>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</si>
  <si>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</si>
  <si>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</si>
  <si>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</si>
  <si>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</si>
  <si>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</si>
  <si>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</si>
  <si>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</si>
  <si>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</si>
  <si>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</si>
  <si>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</si>
  <si>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</si>
  <si>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</si>
  <si>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</si>
  <si>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</si>
  <si>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</si>
  <si>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</si>
  <si>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</si>
  <si>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</si>
  <si>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</si>
  <si>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</si>
  <si>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</si>
  <si>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</si>
  <si>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</si>
  <si>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</si>
  <si>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</si>
  <si>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</si>
  <si>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</si>
  <si>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</si>
  <si>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</si>
  <si>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</si>
  <si>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</si>
  <si>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</si>
  <si>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</si>
  <si>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</si>
  <si>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</si>
  <si>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</si>
  <si>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</si>
  <si>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</si>
  <si>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</si>
  <si>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</si>
  <si>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</si>
  <si>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</si>
  <si>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</si>
  <si>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</si>
  <si>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</si>
  <si>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</si>
  <si>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</si>
  <si>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</si>
  <si>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</si>
  <si>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</si>
  <si>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</si>
  <si>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</si>
  <si>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</si>
  <si>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</si>
  <si>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</si>
  <si>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</si>
  <si>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</si>
  <si>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</si>
  <si>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</si>
  <si>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</si>
  <si>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</si>
  <si>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</si>
  <si>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</si>
  <si>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</si>
  <si>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</si>
  <si>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</si>
  <si>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</si>
  <si>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</si>
  <si>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</si>
  <si>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</si>
  <si>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</si>
  <si>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</si>
  <si>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</si>
  <si>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</si>
  <si>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</si>
  <si>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</si>
  <si>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</si>
  <si>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</si>
  <si>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</si>
  <si>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</si>
  <si>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</si>
  <si>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</si>
  <si>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</si>
  <si>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</si>
  <si>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</si>
  <si>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</si>
  <si>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</si>
  <si>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</si>
  <si>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</si>
  <si>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</si>
  <si>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</si>
  <si>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</si>
  <si>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</si>
  <si>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</si>
  <si>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</si>
  <si>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</si>
  <si>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</si>
  <si>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</si>
  <si>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</si>
  <si>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</si>
  <si>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</si>
  <si>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</si>
  <si>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</si>
  <si>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</si>
  <si>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</si>
  <si>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</si>
  <si>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</si>
  <si>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</si>
  <si>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</si>
  <si>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</si>
  <si>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</si>
  <si>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</si>
  <si>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</si>
  <si>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</si>
  <si>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</si>
  <si>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</si>
  <si>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</si>
  <si>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</si>
  <si>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</si>
  <si>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</si>
  <si>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</si>
  <si>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</si>
  <si>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</si>
  <si>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</si>
  <si>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</si>
  <si>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</si>
  <si>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</si>
  <si>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</si>
  <si>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</si>
  <si>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</si>
  <si>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</si>
  <si>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</si>
  <si>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</si>
  <si>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</si>
  <si>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</si>
  <si>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</si>
  <si>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</si>
  <si>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</si>
  <si>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</si>
  <si>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</si>
  <si>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</si>
  <si>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</si>
  <si>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</si>
  <si>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</si>
  <si>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</si>
  <si>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</si>
  <si>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</si>
  <si>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</si>
  <si>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</si>
  <si>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</si>
  <si>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</si>
  <si>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</si>
  <si>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</si>
  <si>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</si>
  <si>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</si>
  <si>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</si>
  <si>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</si>
  <si>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</si>
  <si>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</si>
  <si>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</si>
  <si>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</si>
  <si>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</si>
  <si>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</si>
  <si>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</si>
  <si>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</si>
  <si>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</si>
  <si>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</si>
  <si>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</si>
  <si>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</si>
  <si>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</si>
  <si>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</si>
  <si>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</si>
  <si>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</si>
  <si>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</si>
  <si>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</si>
  <si>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</si>
  <si>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</si>
  <si>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</si>
  <si>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</si>
  <si>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</si>
  <si>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</si>
  <si>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</si>
  <si>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</si>
  <si>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</si>
  <si>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</si>
  <si>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</si>
  <si>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</si>
  <si>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</si>
  <si>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</si>
  <si>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</si>
  <si>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</si>
  <si>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</si>
  <si>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</si>
  <si>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</si>
  <si>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</si>
  <si>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</si>
  <si>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</si>
  <si>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</si>
  <si>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</si>
  <si>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</si>
  <si>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</si>
  <si>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</si>
  <si>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</si>
  <si>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</si>
  <si>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</si>
  <si>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</si>
  <si>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</si>
  <si>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</si>
  <si>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</si>
  <si>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</si>
  <si>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</si>
  <si>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</si>
  <si>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</si>
  <si>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</si>
  <si>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</si>
  <si>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</si>
  <si>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</si>
  <si>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</si>
  <si>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</si>
  <si>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</si>
  <si>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</si>
  <si>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</si>
  <si>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</si>
  <si>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</si>
  <si>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</si>
  <si>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</si>
  <si>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</si>
  <si>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</si>
  <si>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</si>
  <si>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</si>
  <si>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</si>
  <si>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</si>
  <si>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</si>
  <si>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</si>
  <si>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</si>
  <si>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</si>
  <si>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</si>
  <si>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</si>
  <si>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</si>
  <si>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</si>
  <si>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</si>
  <si>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</si>
  <si>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</si>
  <si>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</si>
  <si>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</si>
  <si>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</si>
  <si>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</si>
  <si>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</si>
  <si>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</si>
  <si>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</si>
  <si>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</si>
  <si>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</si>
  <si>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</si>
  <si>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</si>
  <si>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</si>
  <si>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</si>
  <si>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</si>
  <si>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</si>
  <si>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</si>
  <si>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</si>
  <si>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</si>
  <si>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</si>
  <si>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</si>
  <si>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</si>
  <si>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</si>
  <si>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</si>
  <si>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</si>
  <si>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</si>
  <si>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</si>
  <si>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</si>
  <si>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</si>
  <si>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</si>
  <si>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</si>
  <si>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</si>
  <si>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</si>
  <si>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</si>
  <si>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</si>
  <si>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</si>
  <si>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</si>
  <si>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</si>
  <si>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</si>
  <si>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</si>
  <si>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</si>
  <si>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</si>
  <si>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</si>
  <si>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</si>
  <si>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</si>
  <si>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</si>
  <si>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</si>
  <si>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</si>
  <si>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</si>
  <si>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</si>
  <si>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</si>
  <si>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</si>
  <si>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</si>
  <si>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</si>
  <si>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</si>
  <si>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</si>
  <si>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</si>
  <si>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</si>
  <si>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</si>
  <si>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</si>
  <si>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</si>
  <si>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</si>
  <si>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</si>
  <si>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</si>
  <si>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</si>
  <si>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</si>
  <si>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</si>
  <si>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</si>
  <si>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</si>
  <si>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</si>
  <si>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</si>
  <si>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</si>
  <si>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</si>
  <si>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</si>
  <si>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</si>
  <si>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</si>
  <si>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</si>
  <si>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</si>
  <si>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</si>
  <si>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</si>
  <si>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</si>
  <si>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</si>
  <si>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</si>
  <si>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</si>
  <si>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</si>
  <si>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</si>
  <si>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</si>
  <si>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</si>
  <si>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</si>
  <si>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</si>
  <si>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</si>
  <si>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</si>
  <si>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</si>
  <si>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</si>
  <si>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</si>
  <si>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</si>
  <si>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</si>
  <si>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</si>
  <si>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</si>
  <si>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</si>
  <si>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</si>
  <si>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</si>
  <si>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</si>
  <si>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</si>
  <si>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</si>
  <si>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</si>
  <si>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</si>
  <si>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</si>
  <si>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</si>
  <si>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</si>
  <si>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</si>
  <si>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</si>
  <si>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</si>
  <si>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</si>
  <si>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</si>
  <si>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</si>
  <si>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</si>
  <si>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</si>
  <si>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</si>
  <si>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</si>
  <si>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</si>
  <si>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</si>
  <si>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</si>
  <si>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</si>
  <si>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</si>
  <si>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</si>
  <si>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</si>
  <si>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</si>
  <si>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</si>
  <si>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</si>
  <si>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</si>
  <si>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</si>
  <si>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</si>
  <si>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</si>
  <si>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</si>
  <si>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</si>
  <si>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</si>
  <si>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</si>
  <si>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</si>
  <si>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</si>
  <si>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</si>
  <si>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</si>
  <si>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</si>
  <si>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</si>
  <si>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</si>
  <si>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</si>
  <si>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</si>
  <si>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</si>
  <si>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</si>
  <si>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</si>
  <si>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</si>
  <si>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</si>
  <si>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</si>
  <si>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</si>
  <si>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</si>
  <si>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</si>
  <si>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</si>
  <si>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</si>
  <si>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</si>
  <si>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</si>
  <si>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</si>
  <si>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</si>
  <si>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</si>
  <si>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</si>
  <si>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</si>
  <si>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</si>
  <si>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</si>
  <si>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</si>
  <si>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</si>
  <si>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</si>
  <si>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</si>
  <si>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</si>
  <si>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</si>
  <si>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</si>
  <si>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</si>
  <si>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</si>
  <si>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</si>
  <si>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</si>
  <si>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</si>
  <si>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</si>
  <si>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</si>
  <si>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</si>
  <si>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</si>
  <si>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</si>
  <si>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</si>
  <si>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</si>
  <si>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</si>
  <si>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</si>
  <si>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</si>
  <si>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</si>
  <si>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</si>
  <si>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</si>
  <si>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</si>
  <si>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</si>
  <si>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</si>
  <si>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</si>
  <si>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</si>
  <si>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</si>
  <si>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</si>
  <si>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</si>
  <si>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</si>
  <si>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</si>
  <si>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</si>
  <si>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</si>
  <si>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</si>
  <si>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</si>
  <si>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</si>
  <si>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</si>
  <si>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</si>
  <si>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</si>
  <si>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</si>
  <si>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</si>
  <si>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</si>
  <si>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</si>
  <si>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</si>
  <si>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</si>
  <si>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</si>
  <si>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</si>
  <si>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</si>
  <si>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</si>
  <si>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</si>
  <si>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</si>
  <si>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</si>
  <si>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</si>
  <si>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</si>
  <si>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</si>
  <si>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</si>
  <si>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</si>
  <si>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</si>
  <si>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</si>
  <si>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</si>
  <si>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</si>
  <si>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</si>
  <si>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</si>
  <si>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</si>
  <si>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</si>
  <si>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</si>
  <si>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</si>
  <si>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</si>
  <si>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</si>
  <si>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</si>
  <si>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</si>
  <si>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</si>
  <si>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</si>
  <si>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</si>
  <si>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</si>
  <si>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</si>
  <si>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</si>
  <si>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</si>
  <si>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</si>
  <si>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</si>
  <si>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</si>
  <si>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</si>
  <si>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</si>
  <si>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</si>
  <si>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</si>
  <si>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</si>
  <si>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</si>
  <si>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</si>
  <si>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</si>
  <si>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</si>
  <si>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</si>
  <si>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</si>
  <si>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</si>
  <si>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</si>
  <si>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</si>
  <si>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</si>
  <si>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</si>
  <si>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</si>
  <si>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</si>
  <si>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</si>
  <si>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</si>
  <si>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</si>
  <si>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</si>
  <si>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</si>
  <si>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</si>
  <si>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</si>
  <si>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</si>
  <si>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</si>
  <si>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</si>
  <si>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</si>
  <si>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</si>
  <si>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</si>
  <si>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</si>
  <si>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</si>
  <si>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</si>
  <si>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</si>
  <si>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</si>
  <si>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</si>
  <si>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</si>
  <si>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</si>
  <si>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</si>
  <si>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</si>
  <si>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</si>
  <si>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</si>
  <si>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</si>
  <si>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</si>
  <si>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</si>
  <si>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</si>
  <si>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</si>
  <si>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</si>
  <si>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</si>
  <si>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</si>
  <si>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</si>
  <si>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</si>
  <si>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</si>
  <si>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</si>
  <si>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</si>
  <si>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</si>
  <si>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</si>
  <si>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</si>
  <si>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</si>
  <si>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</si>
  <si>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</si>
  <si>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</si>
  <si>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</si>
  <si>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</si>
  <si>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</si>
  <si>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</si>
  <si>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</si>
  <si>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</si>
  <si>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</si>
  <si>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</si>
  <si>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</si>
  <si>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</si>
  <si>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</si>
  <si>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</si>
  <si>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</si>
  <si>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</si>
  <si>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</si>
  <si>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</si>
  <si>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</si>
  <si>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</si>
  <si>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</si>
  <si>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</si>
  <si>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</si>
  <si>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</si>
  <si>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</si>
  <si>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</si>
  <si>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</si>
  <si>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</si>
  <si>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</si>
  <si>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</si>
  <si>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</si>
  <si>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</si>
  <si>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</si>
  <si>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</si>
  <si>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</si>
  <si>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</si>
  <si>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</si>
  <si>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</si>
  <si>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</si>
  <si>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</si>
  <si>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</si>
  <si>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</si>
  <si>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</si>
  <si>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</si>
  <si>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</si>
  <si>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</si>
  <si>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</si>
  <si>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</si>
  <si>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</si>
  <si>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</si>
  <si>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</si>
  <si>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</si>
  <si>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</si>
  <si>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</si>
  <si>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</si>
  <si>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</si>
  <si>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</si>
  <si>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</si>
  <si>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</si>
  <si>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</si>
  <si>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</si>
  <si>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</si>
  <si>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</si>
  <si>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</si>
  <si>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</si>
  <si>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</si>
  <si>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</si>
  <si>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</si>
  <si>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</si>
  <si>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</si>
  <si>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</si>
  <si>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</si>
  <si>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</si>
  <si>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</si>
  <si>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</si>
  <si>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</si>
  <si>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</si>
  <si>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</si>
  <si>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</si>
  <si>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</si>
  <si>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</si>
  <si>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</si>
  <si>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</si>
  <si>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</si>
  <si>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</si>
  <si>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</si>
  <si>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</si>
  <si>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</si>
  <si>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</si>
  <si>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</si>
  <si>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</si>
  <si>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</si>
  <si>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</si>
  <si>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</si>
  <si>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</si>
  <si>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</si>
  <si>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</si>
  <si>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</si>
  <si>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</si>
  <si>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</si>
  <si>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</si>
  <si>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</si>
  <si>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</si>
  <si>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</si>
  <si>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</si>
  <si>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</si>
  <si>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</si>
  <si>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</si>
  <si>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</si>
  <si>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</si>
  <si>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</si>
  <si>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</si>
  <si>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</si>
  <si>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</si>
  <si>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</si>
  <si>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</si>
  <si>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</si>
  <si>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</si>
  <si>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</si>
  <si>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</si>
  <si>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</si>
  <si>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</si>
  <si>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</si>
  <si>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</si>
  <si>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</si>
  <si>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8/08</t>
  </si>
  <si>
    <t>8/15</t>
  </si>
  <si>
    <t>6/06</t>
  </si>
  <si>
    <t>7/26</t>
  </si>
  <si>
    <t>1/14</t>
  </si>
  <si>
    <t>8/18</t>
  </si>
  <si>
    <t>8/07</t>
  </si>
  <si>
    <t>8/17</t>
  </si>
  <si>
    <t>Continuation from page 20: Amortization Schedule of Long Term Debt;</t>
  </si>
  <si>
    <t xml:space="preserve">                                                                  Debt 5                       Debt 6                        5 &amp; 6 Total</t>
  </si>
  <si>
    <t xml:space="preserve">Length of Debt                                                       24                               15             </t>
  </si>
  <si>
    <t>Date of Issue                                                       7/05                              11/14</t>
  </si>
  <si>
    <t xml:space="preserve">Date of Final Payment                                          7/29                               7/29                              </t>
  </si>
  <si>
    <t>Original Debt Amount                                     47,505,000.                    32,715,000.</t>
  </si>
  <si>
    <t xml:space="preserve">Interest Rate                                                        4.34                               2.63   </t>
  </si>
  <si>
    <t xml:space="preserve">Principal at Beginning of Year                          24,871,667.                            0                    </t>
  </si>
  <si>
    <t>New Issues This Year                                            0                             32,715,000.           32,715,000.</t>
  </si>
  <si>
    <t>Retired Issues this Year                                    1,614,953.                         555,000.             2,169,953.</t>
  </si>
  <si>
    <t>Remaining Principal Balance Due                            0                             32,160,000.           32,160,000.</t>
  </si>
  <si>
    <t>Remaining Interest Balance Due                              0                              11,927,325.          11,927,325.</t>
  </si>
  <si>
    <t>Remaining Debt(P&amp;I)                                               0                             44,087,325.           44,087,325.</t>
  </si>
  <si>
    <t>Amount of Principal to be Paid Next Fiscal Yr           0                                2,070,000.            2,070,000.</t>
  </si>
  <si>
    <t>Amount of Interest to be Paid Next Fiscal Yr             0                                1,303,900.            1,303,900.</t>
  </si>
  <si>
    <t>Total Debt Next Fiscal Yr                                         0                                3,373,900.            3,373,900.</t>
  </si>
  <si>
    <t xml:space="preserve">On November 4,2014 the Bedford School District "Advance Refunded" the High School Bond Bank 2005 Series D </t>
  </si>
  <si>
    <t>bonds maturing on July 15,2016 to 2029(Debt 5 above). The remaining balance 23,256,714. Principal along with</t>
  </si>
  <si>
    <t>the associated remaining interest was completey  paid off with the new sale proceeds. The District did not receive</t>
  </si>
  <si>
    <t>any cash proceeds in the refunding.The new issue (Debt 6 above) was issued for 32,715,000.Because of lower</t>
  </si>
  <si>
    <t>interest rate ( 4.34 % vs. 2.63 % ) there is a savings over the remaining life of the bond  principal &amp; interest</t>
  </si>
  <si>
    <t>of 6,171,981. or at  the present value of  5,064,836.</t>
  </si>
  <si>
    <t>11/14</t>
  </si>
  <si>
    <t>7/29</t>
  </si>
  <si>
    <t>Unrealized loss at 6/30/15 per Bank Report of Trust Funds (MS-9)</t>
  </si>
  <si>
    <t>Bedford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</si>
</sst>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944</v>
      </c>
      <c r="B2" s="21">
        <v>41</v>
      </c>
      <c r="C2" s="21">
        <v>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6459624.3300000001</v>
      </c>
      <c r="G9" s="18">
        <v>497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317058.43</v>
      </c>
      <c r="H12" s="18"/>
      <c r="I12" s="18">
        <v>257767.49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77599.55</v>
      </c>
      <c r="G13" s="18">
        <v>14222.87</v>
      </c>
      <c r="H13" s="18">
        <v>347943.99</v>
      </c>
      <c r="I13" s="18"/>
      <c r="J13" s="67">
        <f>SUM(I442)</f>
        <v>471731.91000000003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58518.21</v>
      </c>
      <c r="G14" s="18">
        <v>1112.25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44237.26</v>
      </c>
      <c r="G17" s="18">
        <v>6135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6639979.3499999996</v>
      </c>
      <c r="G19" s="41">
        <f>SUM(G9:G18)</f>
        <v>339025.55</v>
      </c>
      <c r="H19" s="41">
        <f>SUM(H9:H18)</f>
        <v>347943.99</v>
      </c>
      <c r="I19" s="41">
        <f>SUM(I9:I18)</f>
        <v>257767.49</v>
      </c>
      <c r="J19" s="41">
        <f>SUM(J9:J18)</f>
        <v>471731.91000000003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337655.77</v>
      </c>
      <c r="G22" s="18"/>
      <c r="H22" s="18">
        <v>237170.15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129867.17</v>
      </c>
      <c r="G24" s="18">
        <v>567.17999999999995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2837295.1</v>
      </c>
      <c r="G28" s="18">
        <v>10038.61</v>
      </c>
      <c r="H28" s="18">
        <v>95719.77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102035</v>
      </c>
      <c r="G30" s="18">
        <v>68242.98</v>
      </c>
      <c r="H30" s="18">
        <v>15054.07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3406853.04</v>
      </c>
      <c r="G32" s="41">
        <f>SUM(G22:G31)</f>
        <v>78848.76999999999</v>
      </c>
      <c r="H32" s="41">
        <f>SUM(H22:H31)</f>
        <v>347943.99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44237.26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260176.78</v>
      </c>
      <c r="H48" s="18"/>
      <c r="I48" s="18">
        <v>257767.49</v>
      </c>
      <c r="J48" s="13">
        <f>SUM(I459)</f>
        <v>471731.91000000003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128964.52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3059924.53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3233126.3099999996</v>
      </c>
      <c r="G51" s="41">
        <f>SUM(G35:G50)</f>
        <v>260176.78</v>
      </c>
      <c r="H51" s="41">
        <f>SUM(H35:H50)</f>
        <v>0</v>
      </c>
      <c r="I51" s="41">
        <f>SUM(I35:I50)</f>
        <v>257767.49</v>
      </c>
      <c r="J51" s="41">
        <f>SUM(J35:J50)</f>
        <v>471731.91000000003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6639979.3499999996</v>
      </c>
      <c r="G52" s="41">
        <f>G51+G32</f>
        <v>339025.55</v>
      </c>
      <c r="H52" s="41">
        <f>H51+H32</f>
        <v>347943.99</v>
      </c>
      <c r="I52" s="41">
        <f>I51+I32</f>
        <v>257767.49</v>
      </c>
      <c r="J52" s="41">
        <f>J51+J32</f>
        <v>471731.91000000003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44221940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300000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44521940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143691.37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47806.94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1725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193223.31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10485.68</v>
      </c>
      <c r="G96" s="18"/>
      <c r="H96" s="18"/>
      <c r="I96" s="18"/>
      <c r="J96" s="18">
        <v>556.53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1426631.7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11963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80960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8711.98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433374.62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536783.30000000005</v>
      </c>
      <c r="G111" s="41">
        <f>SUM(G96:G110)</f>
        <v>1426631.7</v>
      </c>
      <c r="H111" s="41">
        <f>SUM(H96:H110)</f>
        <v>8711.98</v>
      </c>
      <c r="I111" s="41">
        <f>SUM(I96:I110)</f>
        <v>0</v>
      </c>
      <c r="J111" s="41">
        <f>SUM(J96:J110)</f>
        <v>556.53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45251946.609999999</v>
      </c>
      <c r="G112" s="41">
        <f>G60+G111</f>
        <v>1426631.7</v>
      </c>
      <c r="H112" s="41">
        <f>H60+H79+H94+H111</f>
        <v>8711.98</v>
      </c>
      <c r="I112" s="41">
        <f>I60+I111</f>
        <v>0</v>
      </c>
      <c r="J112" s="41">
        <f>J60+J111</f>
        <v>556.53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4037770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7866227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15837.5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11919834.5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949758.25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462731.49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7483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3787.9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20889.900000000001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1419972.74</v>
      </c>
      <c r="G136" s="41">
        <f>SUM(G123:G135)</f>
        <v>20889.900000000001</v>
      </c>
      <c r="H136" s="41">
        <f>SUM(H123:H135)</f>
        <v>3787.9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13339807.24</v>
      </c>
      <c r="G140" s="41">
        <f>G121+SUM(G136:G137)</f>
        <v>20889.900000000001</v>
      </c>
      <c r="H140" s="41">
        <f>H121+SUM(H136:H139)</f>
        <v>3787.9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288056.31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90701.27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957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219454.14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807079.96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443075.27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14584.24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457659.51</v>
      </c>
      <c r="G162" s="41">
        <f>SUM(G150:G161)</f>
        <v>219454.14</v>
      </c>
      <c r="H162" s="41">
        <f>SUM(H150:H161)</f>
        <v>1186794.54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457659.51</v>
      </c>
      <c r="G169" s="41">
        <f>G147+G162+SUM(G163:G168)</f>
        <v>219454.14</v>
      </c>
      <c r="H169" s="41">
        <f>H147+H162+SUM(H163:H168)</f>
        <v>1186794.54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1537.12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1537.12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1537.12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59049413.359999999</v>
      </c>
      <c r="G193" s="47">
        <f>G112+G140+G169+G192</f>
        <v>1668512.8599999999</v>
      </c>
      <c r="H193" s="47">
        <f>H112+H140+H169+H192</f>
        <v>1199294.42</v>
      </c>
      <c r="I193" s="47">
        <f>I112+I140+I169+I192</f>
        <v>0</v>
      </c>
      <c r="J193" s="47">
        <f>J112+J140+J192</f>
        <v>556.53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8093530.3300000001</v>
      </c>
      <c r="G197" s="18">
        <v>4041283.42</v>
      </c>
      <c r="H197" s="18">
        <v>33593.86</v>
      </c>
      <c r="I197" s="18">
        <v>377519.35999999999</v>
      </c>
      <c r="J197" s="18">
        <v>11784.69</v>
      </c>
      <c r="K197" s="18"/>
      <c r="L197" s="19">
        <f>SUM(F197:K197)</f>
        <v>12557711.659999998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3057127.23</v>
      </c>
      <c r="G198" s="18">
        <v>1526493.02</v>
      </c>
      <c r="H198" s="18">
        <v>376652.26</v>
      </c>
      <c r="I198" s="18">
        <v>28805.52</v>
      </c>
      <c r="J198" s="18"/>
      <c r="K198" s="18"/>
      <c r="L198" s="19">
        <f>SUM(F198:K198)</f>
        <v>4989078.0299999993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66832.55</v>
      </c>
      <c r="G200" s="18">
        <v>33371.01</v>
      </c>
      <c r="H200" s="18"/>
      <c r="I200" s="18"/>
      <c r="J200" s="18"/>
      <c r="K200" s="18"/>
      <c r="L200" s="19">
        <f>SUM(F200:K200)</f>
        <v>100203.56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931052.41</v>
      </c>
      <c r="G202" s="18">
        <v>464895.6</v>
      </c>
      <c r="H202" s="18">
        <v>817450.34</v>
      </c>
      <c r="I202" s="18">
        <v>21365.01</v>
      </c>
      <c r="J202" s="18"/>
      <c r="K202" s="18"/>
      <c r="L202" s="19">
        <f t="shared" ref="L202:L208" si="0">SUM(F202:K202)</f>
        <v>2234763.36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277939.09999999998</v>
      </c>
      <c r="G203" s="18">
        <v>138781.29999999999</v>
      </c>
      <c r="H203" s="18">
        <v>31188.97</v>
      </c>
      <c r="I203" s="18">
        <v>50481.1</v>
      </c>
      <c r="J203" s="18">
        <v>108549.06</v>
      </c>
      <c r="K203" s="18">
        <v>19069.71</v>
      </c>
      <c r="L203" s="19">
        <f t="shared" si="0"/>
        <v>626009.24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365046.66</v>
      </c>
      <c r="G204" s="18">
        <v>182276.08</v>
      </c>
      <c r="H204" s="18">
        <v>33556.65</v>
      </c>
      <c r="I204" s="18">
        <v>11312.49</v>
      </c>
      <c r="J204" s="18">
        <v>11040.91</v>
      </c>
      <c r="K204" s="18">
        <v>8107.22</v>
      </c>
      <c r="L204" s="19">
        <f t="shared" si="0"/>
        <v>611340.01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1184764.79</v>
      </c>
      <c r="G205" s="18">
        <v>591579.94999999995</v>
      </c>
      <c r="H205" s="18">
        <v>15418.22</v>
      </c>
      <c r="I205" s="18">
        <v>16248.53</v>
      </c>
      <c r="J205" s="18">
        <v>100.7</v>
      </c>
      <c r="K205" s="18">
        <v>9041</v>
      </c>
      <c r="L205" s="19">
        <f t="shared" si="0"/>
        <v>1817153.19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119062.33</v>
      </c>
      <c r="G206" s="18">
        <v>59450.52</v>
      </c>
      <c r="H206" s="18">
        <v>101015.83</v>
      </c>
      <c r="I206" s="18"/>
      <c r="J206" s="18"/>
      <c r="K206" s="18"/>
      <c r="L206" s="19">
        <f t="shared" si="0"/>
        <v>279528.68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769996.92</v>
      </c>
      <c r="G207" s="18">
        <v>384476.94</v>
      </c>
      <c r="H207" s="18">
        <v>933956.11</v>
      </c>
      <c r="I207" s="18">
        <v>603309.1</v>
      </c>
      <c r="J207" s="18">
        <v>8473.76</v>
      </c>
      <c r="K207" s="18">
        <v>77.97</v>
      </c>
      <c r="L207" s="19">
        <f t="shared" si="0"/>
        <v>2700290.8000000003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18670.71</v>
      </c>
      <c r="G208" s="18">
        <v>9322.73</v>
      </c>
      <c r="H208" s="18">
        <v>1201221.23</v>
      </c>
      <c r="I208" s="18"/>
      <c r="J208" s="18"/>
      <c r="K208" s="18"/>
      <c r="L208" s="19">
        <f t="shared" si="0"/>
        <v>1229214.67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20537.189999999999</v>
      </c>
      <c r="I209" s="18"/>
      <c r="J209" s="18"/>
      <c r="K209" s="18"/>
      <c r="L209" s="19">
        <f>SUM(F209:K209)</f>
        <v>20537.189999999999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14884023.030000001</v>
      </c>
      <c r="G211" s="41">
        <f t="shared" si="1"/>
        <v>7431930.5699999994</v>
      </c>
      <c r="H211" s="41">
        <f t="shared" si="1"/>
        <v>3564590.6599999997</v>
      </c>
      <c r="I211" s="41">
        <f t="shared" si="1"/>
        <v>1109041.1099999999</v>
      </c>
      <c r="J211" s="41">
        <f t="shared" si="1"/>
        <v>139949.12000000002</v>
      </c>
      <c r="K211" s="41">
        <f t="shared" si="1"/>
        <v>36295.9</v>
      </c>
      <c r="L211" s="41">
        <f t="shared" si="1"/>
        <v>27165830.389999997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3146503.11</v>
      </c>
      <c r="G215" s="18">
        <v>1571120.43</v>
      </c>
      <c r="H215" s="18">
        <v>16405.009999999998</v>
      </c>
      <c r="I215" s="18">
        <v>113742.1</v>
      </c>
      <c r="J215" s="18"/>
      <c r="K215" s="18"/>
      <c r="L215" s="19">
        <f>SUM(F215:K215)</f>
        <v>4847770.6499999994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893782.21</v>
      </c>
      <c r="G216" s="18">
        <v>446285.75</v>
      </c>
      <c r="H216" s="18">
        <v>43297.3</v>
      </c>
      <c r="I216" s="18">
        <v>7046.77</v>
      </c>
      <c r="J216" s="18"/>
      <c r="K216" s="18"/>
      <c r="L216" s="19">
        <f>SUM(F216:K216)</f>
        <v>1390412.03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110572.12</v>
      </c>
      <c r="G218" s="18">
        <v>55211.17</v>
      </c>
      <c r="H218" s="18">
        <v>25324.89</v>
      </c>
      <c r="I218" s="18">
        <v>11974.38</v>
      </c>
      <c r="J218" s="18"/>
      <c r="K218" s="18">
        <v>1685</v>
      </c>
      <c r="L218" s="19">
        <f>SUM(F218:K218)</f>
        <v>204767.56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280301.34000000003</v>
      </c>
      <c r="G220" s="18">
        <v>139960.82</v>
      </c>
      <c r="H220" s="18">
        <v>90261.88</v>
      </c>
      <c r="I220" s="18">
        <v>5342.85</v>
      </c>
      <c r="J220" s="18"/>
      <c r="K220" s="18"/>
      <c r="L220" s="19">
        <f t="shared" ref="L220:L226" si="2">SUM(F220:K220)</f>
        <v>515866.89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103837.77</v>
      </c>
      <c r="G221" s="18">
        <v>51848.56</v>
      </c>
      <c r="H221" s="18">
        <v>11561.42</v>
      </c>
      <c r="I221" s="18">
        <v>17854.810000000001</v>
      </c>
      <c r="J221" s="18">
        <v>40692.07</v>
      </c>
      <c r="K221" s="18">
        <v>7124.43</v>
      </c>
      <c r="L221" s="19">
        <f t="shared" si="2"/>
        <v>232919.06000000003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136381.07</v>
      </c>
      <c r="G222" s="18">
        <v>68098.16</v>
      </c>
      <c r="H222" s="18">
        <v>12536.73</v>
      </c>
      <c r="I222" s="18">
        <v>4226.34</v>
      </c>
      <c r="J222" s="18">
        <v>4124.87</v>
      </c>
      <c r="K222" s="18">
        <v>3028.85</v>
      </c>
      <c r="L222" s="19">
        <f t="shared" si="2"/>
        <v>228396.02000000002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400201.3</v>
      </c>
      <c r="G223" s="18">
        <v>199829.6</v>
      </c>
      <c r="H223" s="18">
        <v>5740.55</v>
      </c>
      <c r="I223" s="18">
        <v>2977.61</v>
      </c>
      <c r="J223" s="18">
        <v>37.619999999999997</v>
      </c>
      <c r="K223" s="18">
        <v>1138</v>
      </c>
      <c r="L223" s="19">
        <f t="shared" si="2"/>
        <v>609924.68000000005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44481.57</v>
      </c>
      <c r="G224" s="18">
        <v>22210.66</v>
      </c>
      <c r="H224" s="18">
        <v>37739.410000000003</v>
      </c>
      <c r="I224" s="18"/>
      <c r="J224" s="18"/>
      <c r="K224" s="18"/>
      <c r="L224" s="19">
        <f t="shared" si="2"/>
        <v>104431.64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213292.1</v>
      </c>
      <c r="G225" s="18">
        <v>106501.59</v>
      </c>
      <c r="H225" s="18">
        <v>348925.07</v>
      </c>
      <c r="I225" s="18">
        <v>55430.13</v>
      </c>
      <c r="J225" s="18">
        <v>3165.79</v>
      </c>
      <c r="K225" s="18">
        <v>29.13</v>
      </c>
      <c r="L225" s="19">
        <f t="shared" si="2"/>
        <v>727343.81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6975.37</v>
      </c>
      <c r="G226" s="18">
        <v>3482.94</v>
      </c>
      <c r="H226" s="18">
        <v>453275.06</v>
      </c>
      <c r="I226" s="18"/>
      <c r="J226" s="18"/>
      <c r="K226" s="18"/>
      <c r="L226" s="19">
        <f t="shared" si="2"/>
        <v>463733.37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7672.67</v>
      </c>
      <c r="I227" s="18"/>
      <c r="J227" s="18"/>
      <c r="K227" s="18"/>
      <c r="L227" s="19">
        <f>SUM(F227:K227)</f>
        <v>7672.67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5336327.96</v>
      </c>
      <c r="G229" s="41">
        <f>SUM(G215:G228)</f>
        <v>2664549.6800000002</v>
      </c>
      <c r="H229" s="41">
        <f>SUM(H215:H228)</f>
        <v>1052739.99</v>
      </c>
      <c r="I229" s="41">
        <f>SUM(I215:I228)</f>
        <v>218594.99</v>
      </c>
      <c r="J229" s="41">
        <f>SUM(J215:J228)</f>
        <v>48020.350000000006</v>
      </c>
      <c r="K229" s="41">
        <f t="shared" si="3"/>
        <v>13005.41</v>
      </c>
      <c r="L229" s="41">
        <f t="shared" si="3"/>
        <v>9333238.3799999971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5165914.33</v>
      </c>
      <c r="G233" s="18">
        <v>2579458.29</v>
      </c>
      <c r="H233" s="18">
        <v>79589.06</v>
      </c>
      <c r="I233" s="18">
        <v>256044.07</v>
      </c>
      <c r="J233" s="18">
        <v>33002.379999999997</v>
      </c>
      <c r="K233" s="18">
        <v>48672.27</v>
      </c>
      <c r="L233" s="19">
        <f>SUM(F233:K233)</f>
        <v>8162680.3999999994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1329287.98</v>
      </c>
      <c r="G234" s="18">
        <v>663743.66</v>
      </c>
      <c r="H234" s="18">
        <v>635235.85</v>
      </c>
      <c r="I234" s="18">
        <v>9136.9500000000007</v>
      </c>
      <c r="J234" s="18"/>
      <c r="K234" s="18"/>
      <c r="L234" s="19">
        <f>SUM(F234:K234)</f>
        <v>2637404.4400000004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53589.919999999998</v>
      </c>
      <c r="I235" s="18"/>
      <c r="J235" s="18"/>
      <c r="K235" s="18"/>
      <c r="L235" s="19">
        <f>SUM(F235:K235)</f>
        <v>53589.919999999998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485833.39</v>
      </c>
      <c r="G236" s="18">
        <v>242587.64</v>
      </c>
      <c r="H236" s="18">
        <v>203686.84</v>
      </c>
      <c r="I236" s="18">
        <v>59884.66</v>
      </c>
      <c r="J236" s="18"/>
      <c r="K236" s="18">
        <v>17778</v>
      </c>
      <c r="L236" s="19">
        <f>SUM(F236:K236)</f>
        <v>1009770.53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472945.15</v>
      </c>
      <c r="G238" s="18">
        <v>236152.25</v>
      </c>
      <c r="H238" s="18">
        <v>295451.28999999998</v>
      </c>
      <c r="I238" s="18">
        <v>14040.27</v>
      </c>
      <c r="J238" s="18"/>
      <c r="K238" s="18"/>
      <c r="L238" s="19">
        <f t="shared" ref="L238:L244" si="4">SUM(F238:K238)</f>
        <v>1018588.96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195099.63</v>
      </c>
      <c r="G239" s="18">
        <v>97417.68</v>
      </c>
      <c r="H239" s="18">
        <v>23342.53</v>
      </c>
      <c r="I239" s="18">
        <v>38140.519999999997</v>
      </c>
      <c r="J239" s="18">
        <v>78401.25</v>
      </c>
      <c r="K239" s="18">
        <v>13386</v>
      </c>
      <c r="L239" s="19">
        <f t="shared" si="4"/>
        <v>445787.61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256244.87</v>
      </c>
      <c r="G240" s="18">
        <v>127948.88</v>
      </c>
      <c r="H240" s="18">
        <v>23555.13</v>
      </c>
      <c r="I240" s="18">
        <v>7940.81</v>
      </c>
      <c r="J240" s="18">
        <v>7750.18</v>
      </c>
      <c r="K240" s="18">
        <v>5690.87</v>
      </c>
      <c r="L240" s="19">
        <f t="shared" si="4"/>
        <v>429130.74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970243.54</v>
      </c>
      <c r="G241" s="18">
        <v>484464.62</v>
      </c>
      <c r="H241" s="18">
        <v>15975.59</v>
      </c>
      <c r="I241" s="18">
        <v>7958.85</v>
      </c>
      <c r="J241" s="18">
        <v>3820.68</v>
      </c>
      <c r="K241" s="18">
        <v>45377.1</v>
      </c>
      <c r="L241" s="19">
        <f t="shared" si="4"/>
        <v>1527840.3800000004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83575.92</v>
      </c>
      <c r="G242" s="18">
        <v>41731.360000000001</v>
      </c>
      <c r="H242" s="18">
        <v>70908.160000000003</v>
      </c>
      <c r="I242" s="18"/>
      <c r="J242" s="18"/>
      <c r="K242" s="18"/>
      <c r="L242" s="19">
        <f t="shared" si="4"/>
        <v>196215.44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367482.71</v>
      </c>
      <c r="G243" s="18">
        <v>183492.46</v>
      </c>
      <c r="H243" s="18">
        <v>655591.43999999994</v>
      </c>
      <c r="I243" s="18">
        <v>540896.89</v>
      </c>
      <c r="J243" s="18">
        <v>5948.17</v>
      </c>
      <c r="K243" s="18">
        <v>54.73</v>
      </c>
      <c r="L243" s="19">
        <f t="shared" si="4"/>
        <v>1753466.4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13105.92</v>
      </c>
      <c r="G244" s="18">
        <v>6544.08</v>
      </c>
      <c r="H244" s="18">
        <v>843198.46</v>
      </c>
      <c r="I244" s="18"/>
      <c r="J244" s="18"/>
      <c r="K244" s="18"/>
      <c r="L244" s="19">
        <f t="shared" si="4"/>
        <v>862848.46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14416.1</v>
      </c>
      <c r="I245" s="18"/>
      <c r="J245" s="18"/>
      <c r="K245" s="18"/>
      <c r="L245" s="19">
        <f>SUM(F245:K245)</f>
        <v>14416.1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9339733.4400000013</v>
      </c>
      <c r="G247" s="41">
        <f t="shared" si="5"/>
        <v>4663540.9200000009</v>
      </c>
      <c r="H247" s="41">
        <f t="shared" si="5"/>
        <v>2914540.3699999996</v>
      </c>
      <c r="I247" s="41">
        <f t="shared" si="5"/>
        <v>934043.02</v>
      </c>
      <c r="J247" s="41">
        <f t="shared" si="5"/>
        <v>128922.65999999999</v>
      </c>
      <c r="K247" s="41">
        <f t="shared" si="5"/>
        <v>130958.96999999999</v>
      </c>
      <c r="L247" s="41">
        <f t="shared" si="5"/>
        <v>18111739.380000003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16167.04</v>
      </c>
      <c r="G251" s="18">
        <v>8073.47</v>
      </c>
      <c r="H251" s="18"/>
      <c r="I251" s="18">
        <v>3347.02</v>
      </c>
      <c r="J251" s="18"/>
      <c r="K251" s="18"/>
      <c r="L251" s="19">
        <f t="shared" si="6"/>
        <v>27587.530000000002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16167.04</v>
      </c>
      <c r="G256" s="41">
        <f t="shared" si="7"/>
        <v>8073.47</v>
      </c>
      <c r="H256" s="41">
        <f t="shared" si="7"/>
        <v>0</v>
      </c>
      <c r="I256" s="41">
        <f t="shared" si="7"/>
        <v>3347.02</v>
      </c>
      <c r="J256" s="41">
        <f t="shared" si="7"/>
        <v>0</v>
      </c>
      <c r="K256" s="41">
        <f t="shared" si="7"/>
        <v>0</v>
      </c>
      <c r="L256" s="41">
        <f>SUM(F256:K256)</f>
        <v>27587.530000000002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29576251.470000003</v>
      </c>
      <c r="G257" s="41">
        <f t="shared" si="8"/>
        <v>14768094.640000002</v>
      </c>
      <c r="H257" s="41">
        <f t="shared" si="8"/>
        <v>7531871.0199999996</v>
      </c>
      <c r="I257" s="41">
        <f t="shared" si="8"/>
        <v>2265026.14</v>
      </c>
      <c r="J257" s="41">
        <f t="shared" si="8"/>
        <v>316892.13</v>
      </c>
      <c r="K257" s="41">
        <f t="shared" si="8"/>
        <v>180260.27999999997</v>
      </c>
      <c r="L257" s="41">
        <f t="shared" si="8"/>
        <v>54638395.68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2933549.33</v>
      </c>
      <c r="L260" s="19">
        <f>SUM(F260:K260)</f>
        <v>2933549.33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1221409.83</v>
      </c>
      <c r="L261" s="19">
        <f>SUM(F261:K261)</f>
        <v>1221409.83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1537.12</v>
      </c>
      <c r="L263" s="19">
        <f>SUM(F263:K263)</f>
        <v>1537.12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4156496.2800000003</v>
      </c>
      <c r="L270" s="41">
        <f t="shared" si="9"/>
        <v>4156496.2800000003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29576251.470000003</v>
      </c>
      <c r="G271" s="42">
        <f t="shared" si="11"/>
        <v>14768094.640000002</v>
      </c>
      <c r="H271" s="42">
        <f t="shared" si="11"/>
        <v>7531871.0199999996</v>
      </c>
      <c r="I271" s="42">
        <f t="shared" si="11"/>
        <v>2265026.14</v>
      </c>
      <c r="J271" s="42">
        <f t="shared" si="11"/>
        <v>316892.13</v>
      </c>
      <c r="K271" s="42">
        <f t="shared" si="11"/>
        <v>4336756.5600000005</v>
      </c>
      <c r="L271" s="42">
        <f t="shared" si="11"/>
        <v>58794891.960000001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258877.27</v>
      </c>
      <c r="G276" s="18">
        <v>33030.07</v>
      </c>
      <c r="H276" s="18"/>
      <c r="I276" s="18">
        <v>12104.48</v>
      </c>
      <c r="J276" s="18">
        <v>12951.88</v>
      </c>
      <c r="K276" s="18"/>
      <c r="L276" s="19">
        <f>SUM(F276:K276)</f>
        <v>316963.69999999995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252467.56</v>
      </c>
      <c r="G277" s="18"/>
      <c r="H277" s="18">
        <v>77757.39</v>
      </c>
      <c r="I277" s="18"/>
      <c r="J277" s="18"/>
      <c r="K277" s="18"/>
      <c r="L277" s="19">
        <f>SUM(F277:K277)</f>
        <v>330224.95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207.83</v>
      </c>
      <c r="J279" s="18"/>
      <c r="K279" s="18"/>
      <c r="L279" s="19">
        <f>SUM(F279:K279)</f>
        <v>207.83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63838.34</v>
      </c>
      <c r="G281" s="18"/>
      <c r="H281" s="18">
        <v>600</v>
      </c>
      <c r="I281" s="18"/>
      <c r="J281" s="18"/>
      <c r="K281" s="18"/>
      <c r="L281" s="19">
        <f t="shared" ref="L281:L287" si="12">SUM(F281:K281)</f>
        <v>64438.34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57672.76</v>
      </c>
      <c r="G282" s="18">
        <v>650.59</v>
      </c>
      <c r="H282" s="18">
        <v>2439</v>
      </c>
      <c r="I282" s="18"/>
      <c r="J282" s="18"/>
      <c r="K282" s="18"/>
      <c r="L282" s="19">
        <f t="shared" si="12"/>
        <v>60762.35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178.65</v>
      </c>
      <c r="I288" s="18"/>
      <c r="J288" s="18"/>
      <c r="K288" s="18"/>
      <c r="L288" s="19">
        <f>SUM(F288:K288)</f>
        <v>178.65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632855.92999999993</v>
      </c>
      <c r="G290" s="42">
        <f t="shared" si="13"/>
        <v>33680.659999999996</v>
      </c>
      <c r="H290" s="42">
        <f t="shared" si="13"/>
        <v>80975.039999999994</v>
      </c>
      <c r="I290" s="42">
        <f t="shared" si="13"/>
        <v>12312.31</v>
      </c>
      <c r="J290" s="42">
        <f t="shared" si="13"/>
        <v>12951.88</v>
      </c>
      <c r="K290" s="42">
        <f t="shared" si="13"/>
        <v>0</v>
      </c>
      <c r="L290" s="41">
        <f t="shared" si="13"/>
        <v>772775.81999999983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92527.65</v>
      </c>
      <c r="G296" s="18"/>
      <c r="H296" s="18">
        <v>29050.080000000002</v>
      </c>
      <c r="I296" s="18"/>
      <c r="J296" s="18"/>
      <c r="K296" s="18"/>
      <c r="L296" s="19">
        <f>SUM(F296:K296)</f>
        <v>121577.73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6365</v>
      </c>
      <c r="J298" s="18"/>
      <c r="K298" s="18"/>
      <c r="L298" s="19">
        <f>SUM(F298:K298)</f>
        <v>6365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43347</v>
      </c>
      <c r="G300" s="18"/>
      <c r="H300" s="18"/>
      <c r="I300" s="18"/>
      <c r="J300" s="18"/>
      <c r="K300" s="18"/>
      <c r="L300" s="19">
        <f t="shared" ref="L300:L306" si="14">SUM(F300:K300)</f>
        <v>43347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1682.9</v>
      </c>
      <c r="I301" s="18">
        <v>16.989999999999998</v>
      </c>
      <c r="J301" s="18"/>
      <c r="K301" s="18"/>
      <c r="L301" s="19">
        <f t="shared" si="14"/>
        <v>1699.89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v>66.739999999999995</v>
      </c>
      <c r="I307" s="18"/>
      <c r="J307" s="18"/>
      <c r="K307" s="18"/>
      <c r="L307" s="19">
        <f>SUM(F307:K307)</f>
        <v>66.739999999999995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135874.65</v>
      </c>
      <c r="G309" s="42">
        <f t="shared" si="15"/>
        <v>0</v>
      </c>
      <c r="H309" s="42">
        <f t="shared" si="15"/>
        <v>30799.720000000005</v>
      </c>
      <c r="I309" s="42">
        <f t="shared" si="15"/>
        <v>6381.99</v>
      </c>
      <c r="J309" s="42">
        <f t="shared" si="15"/>
        <v>0</v>
      </c>
      <c r="K309" s="42">
        <f t="shared" si="15"/>
        <v>0</v>
      </c>
      <c r="L309" s="41">
        <f t="shared" si="15"/>
        <v>173056.36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193010.05</v>
      </c>
      <c r="G315" s="18"/>
      <c r="H315" s="18">
        <v>54581.89</v>
      </c>
      <c r="I315" s="18"/>
      <c r="J315" s="18"/>
      <c r="K315" s="18"/>
      <c r="L315" s="19">
        <f>SUM(F315:K315)</f>
        <v>247591.94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1000</v>
      </c>
      <c r="J317" s="18"/>
      <c r="K317" s="18"/>
      <c r="L317" s="19">
        <f>SUM(F317:K317)</f>
        <v>1000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v>125.4</v>
      </c>
      <c r="I326" s="18"/>
      <c r="J326" s="18"/>
      <c r="K326" s="18"/>
      <c r="L326" s="19">
        <f>SUM(F326:K326)</f>
        <v>125.4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193010.05</v>
      </c>
      <c r="G328" s="42">
        <f t="shared" si="17"/>
        <v>0</v>
      </c>
      <c r="H328" s="42">
        <f t="shared" si="17"/>
        <v>54707.29</v>
      </c>
      <c r="I328" s="42">
        <f t="shared" si="17"/>
        <v>1000</v>
      </c>
      <c r="J328" s="42">
        <f t="shared" si="17"/>
        <v>0</v>
      </c>
      <c r="K328" s="42">
        <f t="shared" si="17"/>
        <v>0</v>
      </c>
      <c r="L328" s="41">
        <f t="shared" si="17"/>
        <v>248717.34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2666.65</v>
      </c>
      <c r="G333" s="18"/>
      <c r="H333" s="18"/>
      <c r="I333" s="18">
        <v>288.14999999999998</v>
      </c>
      <c r="J333" s="18">
        <v>1790.1</v>
      </c>
      <c r="K333" s="18"/>
      <c r="L333" s="19">
        <f t="shared" si="18"/>
        <v>4744.8999999999996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2666.65</v>
      </c>
      <c r="G337" s="41">
        <f t="shared" si="19"/>
        <v>0</v>
      </c>
      <c r="H337" s="41">
        <f t="shared" si="19"/>
        <v>0</v>
      </c>
      <c r="I337" s="41">
        <f t="shared" si="19"/>
        <v>288.14999999999998</v>
      </c>
      <c r="J337" s="41">
        <f t="shared" si="19"/>
        <v>1790.1</v>
      </c>
      <c r="K337" s="41">
        <f t="shared" si="19"/>
        <v>0</v>
      </c>
      <c r="L337" s="41">
        <f t="shared" si="18"/>
        <v>4744.8999999999996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964407.27999999991</v>
      </c>
      <c r="G338" s="41">
        <f t="shared" si="20"/>
        <v>33680.659999999996</v>
      </c>
      <c r="H338" s="41">
        <f t="shared" si="20"/>
        <v>166482.04999999999</v>
      </c>
      <c r="I338" s="41">
        <f t="shared" si="20"/>
        <v>19982.45</v>
      </c>
      <c r="J338" s="41">
        <f t="shared" si="20"/>
        <v>14741.98</v>
      </c>
      <c r="K338" s="41">
        <f t="shared" si="20"/>
        <v>0</v>
      </c>
      <c r="L338" s="41">
        <f t="shared" si="20"/>
        <v>1199294.4199999997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964407.27999999991</v>
      </c>
      <c r="G352" s="41">
        <f>G338</f>
        <v>33680.659999999996</v>
      </c>
      <c r="H352" s="41">
        <f>H338</f>
        <v>166482.04999999999</v>
      </c>
      <c r="I352" s="41">
        <f>I338</f>
        <v>19982.45</v>
      </c>
      <c r="J352" s="41">
        <f>J338</f>
        <v>14741.98</v>
      </c>
      <c r="K352" s="47">
        <f>K338+K351</f>
        <v>0</v>
      </c>
      <c r="L352" s="41">
        <f>L338+L351</f>
        <v>1199294.4199999997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234060.52</v>
      </c>
      <c r="G358" s="18">
        <v>53305.09</v>
      </c>
      <c r="H358" s="18">
        <v>18293.39</v>
      </c>
      <c r="I358" s="18">
        <v>433095.32</v>
      </c>
      <c r="J358" s="18">
        <v>10550.04</v>
      </c>
      <c r="K358" s="18">
        <v>834.72</v>
      </c>
      <c r="L358" s="13">
        <f>SUM(F358:K358)</f>
        <v>750139.08000000007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98391.78</v>
      </c>
      <c r="G359" s="18">
        <v>19914.73</v>
      </c>
      <c r="H359" s="18">
        <v>7495.22</v>
      </c>
      <c r="I359" s="18">
        <v>211036</v>
      </c>
      <c r="J359" s="18">
        <v>3941.48</v>
      </c>
      <c r="K359" s="18">
        <v>311.85000000000002</v>
      </c>
      <c r="L359" s="19">
        <f>SUM(F359:K359)</f>
        <v>341091.05999999994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158884.37</v>
      </c>
      <c r="G360" s="18">
        <v>37417.56</v>
      </c>
      <c r="H360" s="18">
        <v>10472.040000000001</v>
      </c>
      <c r="I360" s="18">
        <v>362034.08</v>
      </c>
      <c r="J360" s="18">
        <v>7405.61</v>
      </c>
      <c r="K360" s="18">
        <v>585.92999999999995</v>
      </c>
      <c r="L360" s="19">
        <f>SUM(F360:K360)</f>
        <v>576799.59000000008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491336.67</v>
      </c>
      <c r="G362" s="47">
        <f t="shared" si="22"/>
        <v>110637.37999999999</v>
      </c>
      <c r="H362" s="47">
        <f t="shared" si="22"/>
        <v>36260.65</v>
      </c>
      <c r="I362" s="47">
        <f t="shared" si="22"/>
        <v>1006165.4000000001</v>
      </c>
      <c r="J362" s="47">
        <f t="shared" si="22"/>
        <v>21897.13</v>
      </c>
      <c r="K362" s="47">
        <f t="shared" si="22"/>
        <v>1732.5</v>
      </c>
      <c r="L362" s="47">
        <f t="shared" si="22"/>
        <v>1668029.7300000002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397583.73</v>
      </c>
      <c r="G367" s="18">
        <v>192698.72</v>
      </c>
      <c r="H367" s="18">
        <v>342666.98</v>
      </c>
      <c r="I367" s="56">
        <f>SUM(F367:H367)</f>
        <v>932949.42999999993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35511.589999999997</v>
      </c>
      <c r="G368" s="63">
        <v>18337.28</v>
      </c>
      <c r="H368" s="63">
        <v>19367.099999999999</v>
      </c>
      <c r="I368" s="56">
        <f>SUM(F368:H368)</f>
        <v>73215.97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433095.31999999995</v>
      </c>
      <c r="G369" s="47">
        <f>SUM(G367:G368)</f>
        <v>211036</v>
      </c>
      <c r="H369" s="47">
        <f>SUM(H367:H368)</f>
        <v>362034.07999999996</v>
      </c>
      <c r="I369" s="47">
        <f>SUM(I367:I368)</f>
        <v>1006165.3999999999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364.5</v>
      </c>
      <c r="I387" s="18"/>
      <c r="J387" s="24" t="s">
        <v>289</v>
      </c>
      <c r="K387" s="24" t="s">
        <v>289</v>
      </c>
      <c r="L387" s="56">
        <f t="shared" ref="L387:L392" si="25">SUM(F387:K387)</f>
        <v>364.5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10.98</v>
      </c>
      <c r="I389" s="18"/>
      <c r="J389" s="24" t="s">
        <v>289</v>
      </c>
      <c r="K389" s="24" t="s">
        <v>289</v>
      </c>
      <c r="L389" s="56">
        <f t="shared" si="25"/>
        <v>10.98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375.48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375.48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2.68</v>
      </c>
      <c r="I396" s="18"/>
      <c r="J396" s="24" t="s">
        <v>289</v>
      </c>
      <c r="K396" s="24" t="s">
        <v>289</v>
      </c>
      <c r="L396" s="56">
        <f t="shared" si="26"/>
        <v>2.68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178.37</v>
      </c>
      <c r="I398" s="18"/>
      <c r="J398" s="24" t="s">
        <v>289</v>
      </c>
      <c r="K398" s="24" t="s">
        <v>289</v>
      </c>
      <c r="L398" s="56">
        <f t="shared" si="26"/>
        <v>178.37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181.05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181.05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556.53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556.53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318270.14</v>
      </c>
      <c r="G442" s="18">
        <v>153461.76999999999</v>
      </c>
      <c r="H442" s="18"/>
      <c r="I442" s="56">
        <f t="shared" si="33"/>
        <v>471731.91000000003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318270.14</v>
      </c>
      <c r="G446" s="13">
        <f>SUM(G439:G445)</f>
        <v>153461.76999999999</v>
      </c>
      <c r="H446" s="13">
        <f>SUM(H439:H445)</f>
        <v>0</v>
      </c>
      <c r="I446" s="13">
        <f>SUM(I439:I445)</f>
        <v>471731.91000000003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318270.14</v>
      </c>
      <c r="G459" s="18">
        <v>153461.76999999999</v>
      </c>
      <c r="H459" s="18"/>
      <c r="I459" s="56">
        <f t="shared" si="34"/>
        <v>471731.91000000003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318270.14</v>
      </c>
      <c r="G460" s="83">
        <f>SUM(G454:G459)</f>
        <v>153461.76999999999</v>
      </c>
      <c r="H460" s="83">
        <f>SUM(H454:H459)</f>
        <v>0</v>
      </c>
      <c r="I460" s="83">
        <f>SUM(I454:I459)</f>
        <v>471731.91000000003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318270.14</v>
      </c>
      <c r="G461" s="42">
        <f>G452+G460</f>
        <v>153461.76999999999</v>
      </c>
      <c r="H461" s="42">
        <f>H452+H460</f>
        <v>0</v>
      </c>
      <c r="I461" s="42">
        <f>I452+I460</f>
        <v>471731.91000000003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2978604.91</v>
      </c>
      <c r="G465" s="18">
        <v>259693.65</v>
      </c>
      <c r="H465" s="18">
        <v>0</v>
      </c>
      <c r="I465" s="18">
        <v>257767.49</v>
      </c>
      <c r="J465" s="18">
        <v>481647.79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59049413.359999999</v>
      </c>
      <c r="G468" s="18">
        <v>1668512.86</v>
      </c>
      <c r="H468" s="18">
        <v>1199294.42</v>
      </c>
      <c r="I468" s="18"/>
      <c r="J468" s="18">
        <v>556.53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59049413.359999999</v>
      </c>
      <c r="G470" s="53">
        <f>SUM(G468:G469)</f>
        <v>1668512.86</v>
      </c>
      <c r="H470" s="53">
        <f>SUM(H468:H469)</f>
        <v>1199294.42</v>
      </c>
      <c r="I470" s="53">
        <f>SUM(I468:I469)</f>
        <v>0</v>
      </c>
      <c r="J470" s="53">
        <f>SUM(J468:J469)</f>
        <v>556.53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58794891.960000001</v>
      </c>
      <c r="G472" s="18">
        <v>1668029.73</v>
      </c>
      <c r="H472" s="18">
        <v>1199294.42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10472.41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58794891.960000001</v>
      </c>
      <c r="G474" s="53">
        <f>SUM(G472:G473)</f>
        <v>1668029.73</v>
      </c>
      <c r="H474" s="53">
        <f>SUM(H472:H473)</f>
        <v>1199294.42</v>
      </c>
      <c r="I474" s="53">
        <f>SUM(I472:I473)</f>
        <v>0</v>
      </c>
      <c r="J474" s="53">
        <f>SUM(J472:J473)</f>
        <v>10472.41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3233126.3099999949</v>
      </c>
      <c r="G476" s="53">
        <f>(G465+G470)- G474</f>
        <v>260176.78000000003</v>
      </c>
      <c r="H476" s="53">
        <f>(H465+H470)- H474</f>
        <v>0</v>
      </c>
      <c r="I476" s="53">
        <f>(I465+I470)- I474</f>
        <v>257767.49</v>
      </c>
      <c r="J476" s="53">
        <f>(J465+J470)- J474</f>
        <v>471731.91000000003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943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>
        <v>10</v>
      </c>
      <c r="I490" s="154">
        <v>5</v>
      </c>
      <c r="J490" s="154">
        <v>15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274" t="s">
        <v>917</v>
      </c>
      <c r="I491" s="274" t="s">
        <v>915</v>
      </c>
      <c r="J491" s="274" t="s">
        <v>941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274" t="s">
        <v>918</v>
      </c>
      <c r="I492" s="274" t="s">
        <v>916</v>
      </c>
      <c r="J492" s="274" t="s">
        <v>942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3935000</v>
      </c>
      <c r="G493" s="18">
        <v>800000</v>
      </c>
      <c r="H493" s="18">
        <v>2681350</v>
      </c>
      <c r="I493" s="275">
        <v>320653</v>
      </c>
      <c r="J493" s="18">
        <v>32715000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3.34</v>
      </c>
      <c r="G494" s="18">
        <v>4.5199999999999996</v>
      </c>
      <c r="H494" s="18">
        <v>4.28</v>
      </c>
      <c r="I494" s="18">
        <v>2.68</v>
      </c>
      <c r="J494" s="18">
        <v>2.63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1935000</v>
      </c>
      <c r="G495" s="18">
        <v>520000</v>
      </c>
      <c r="H495" s="18">
        <v>1065000</v>
      </c>
      <c r="I495" s="18">
        <v>320653</v>
      </c>
      <c r="J495" s="18">
        <v>0</v>
      </c>
      <c r="K495" s="53">
        <f>SUM(F495:J495)</f>
        <v>3840653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>
        <v>32715000</v>
      </c>
      <c r="K496" s="53">
        <f t="shared" ref="K496:K503" si="35">SUM(F496:J496)</f>
        <v>32715000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390000</v>
      </c>
      <c r="G497" s="18">
        <v>40000</v>
      </c>
      <c r="H497" s="18">
        <v>270000</v>
      </c>
      <c r="I497" s="18">
        <v>63596</v>
      </c>
      <c r="J497" s="18">
        <v>2169953</v>
      </c>
      <c r="K497" s="53">
        <f t="shared" si="35"/>
        <v>2933549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1545000</v>
      </c>
      <c r="G498" s="204">
        <v>480000</v>
      </c>
      <c r="H498" s="204">
        <v>795000</v>
      </c>
      <c r="I498" s="204">
        <v>257057</v>
      </c>
      <c r="J498" s="204">
        <v>32160000</v>
      </c>
      <c r="K498" s="205">
        <f t="shared" si="35"/>
        <v>35237057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1678719</v>
      </c>
      <c r="G499" s="18">
        <v>132015</v>
      </c>
      <c r="H499" s="18">
        <v>59625</v>
      </c>
      <c r="I499" s="18">
        <v>17476</v>
      </c>
      <c r="J499" s="18">
        <v>11927325</v>
      </c>
      <c r="K499" s="53">
        <f t="shared" si="35"/>
        <v>13815160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3223719</v>
      </c>
      <c r="G500" s="42">
        <f>SUM(G498:G499)</f>
        <v>612015</v>
      </c>
      <c r="H500" s="42">
        <f>SUM(H498:H499)</f>
        <v>854625</v>
      </c>
      <c r="I500" s="42">
        <f>SUM(I498:I499)</f>
        <v>274533</v>
      </c>
      <c r="J500" s="42">
        <f>SUM(J498:J499)</f>
        <v>44087325</v>
      </c>
      <c r="K500" s="42">
        <f t="shared" si="35"/>
        <v>49052217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390000</v>
      </c>
      <c r="G501" s="204">
        <v>40000</v>
      </c>
      <c r="H501" s="204">
        <v>265000</v>
      </c>
      <c r="I501" s="204">
        <v>61743</v>
      </c>
      <c r="J501" s="204">
        <v>2070000</v>
      </c>
      <c r="K501" s="205">
        <f t="shared" si="35"/>
        <v>2826743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60438</v>
      </c>
      <c r="G502" s="18">
        <v>20710</v>
      </c>
      <c r="H502" s="18">
        <v>33125</v>
      </c>
      <c r="I502" s="18">
        <v>6890</v>
      </c>
      <c r="J502" s="18">
        <v>1303900</v>
      </c>
      <c r="K502" s="53">
        <f t="shared" si="35"/>
        <v>1425063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450438</v>
      </c>
      <c r="G503" s="42">
        <f>SUM(G501:G502)</f>
        <v>60710</v>
      </c>
      <c r="H503" s="42">
        <f>SUM(H501:H502)</f>
        <v>298125</v>
      </c>
      <c r="I503" s="42">
        <f>SUM(I501:I502)</f>
        <v>68633</v>
      </c>
      <c r="J503" s="42">
        <f>SUM(J501:J502)</f>
        <v>3373900</v>
      </c>
      <c r="K503" s="42">
        <f t="shared" si="35"/>
        <v>4251806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3149290.49</v>
      </c>
      <c r="G521" s="18">
        <v>1572512.24</v>
      </c>
      <c r="H521" s="18">
        <v>454409.65</v>
      </c>
      <c r="I521" s="18">
        <v>17630.77</v>
      </c>
      <c r="J521" s="18"/>
      <c r="K521" s="18"/>
      <c r="L521" s="88">
        <f>SUM(F521:K521)</f>
        <v>5193843.1500000004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911287.92</v>
      </c>
      <c r="G522" s="18">
        <v>455026.74</v>
      </c>
      <c r="H522" s="18">
        <v>72347.38</v>
      </c>
      <c r="I522" s="18">
        <v>4042.25</v>
      </c>
      <c r="J522" s="18"/>
      <c r="K522" s="18"/>
      <c r="L522" s="88">
        <f>SUM(F522:K522)</f>
        <v>1442704.29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1442752.56</v>
      </c>
      <c r="G523" s="18">
        <v>720399.1</v>
      </c>
      <c r="H523" s="18">
        <v>689817.74</v>
      </c>
      <c r="I523" s="18">
        <v>8995.4500000000007</v>
      </c>
      <c r="J523" s="18"/>
      <c r="K523" s="18"/>
      <c r="L523" s="88">
        <f>SUM(F523:K523)</f>
        <v>2861964.8500000006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5503330.9700000007</v>
      </c>
      <c r="G524" s="108">
        <f t="shared" ref="G524:L524" si="36">SUM(G521:G523)</f>
        <v>2747938.08</v>
      </c>
      <c r="H524" s="108">
        <f t="shared" si="36"/>
        <v>1216574.77</v>
      </c>
      <c r="I524" s="108">
        <f t="shared" si="36"/>
        <v>30668.47</v>
      </c>
      <c r="J524" s="108">
        <f t="shared" si="36"/>
        <v>0</v>
      </c>
      <c r="K524" s="108">
        <f t="shared" si="36"/>
        <v>0</v>
      </c>
      <c r="L524" s="89">
        <f t="shared" si="36"/>
        <v>9498512.290000001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465130.79</v>
      </c>
      <c r="G526" s="18">
        <v>232250.36</v>
      </c>
      <c r="H526" s="18">
        <v>742926.54</v>
      </c>
      <c r="I526" s="18">
        <v>15481.82</v>
      </c>
      <c r="J526" s="18"/>
      <c r="K526" s="18"/>
      <c r="L526" s="88">
        <f>SUM(F526:K526)</f>
        <v>1455789.51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120919.49</v>
      </c>
      <c r="G527" s="18">
        <v>60377.85</v>
      </c>
      <c r="H527" s="18">
        <v>72226.12</v>
      </c>
      <c r="I527" s="18"/>
      <c r="J527" s="18"/>
      <c r="K527" s="18"/>
      <c r="L527" s="88">
        <f>SUM(F527:K527)</f>
        <v>253523.46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16832.04</v>
      </c>
      <c r="G528" s="18">
        <v>8404.6200000000008</v>
      </c>
      <c r="H528" s="18">
        <v>256373.62</v>
      </c>
      <c r="I528" s="18"/>
      <c r="J528" s="18"/>
      <c r="K528" s="18"/>
      <c r="L528" s="88">
        <f>SUM(F528:K528)</f>
        <v>281610.28000000003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602882.32000000007</v>
      </c>
      <c r="G529" s="89">
        <f t="shared" ref="G529:L529" si="37">SUM(G526:G528)</f>
        <v>301032.82999999996</v>
      </c>
      <c r="H529" s="89">
        <f t="shared" si="37"/>
        <v>1071526.28</v>
      </c>
      <c r="I529" s="89">
        <f t="shared" si="37"/>
        <v>15481.82</v>
      </c>
      <c r="J529" s="89">
        <f t="shared" si="37"/>
        <v>0</v>
      </c>
      <c r="K529" s="89">
        <f t="shared" si="37"/>
        <v>0</v>
      </c>
      <c r="L529" s="89">
        <f t="shared" si="37"/>
        <v>1990923.25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278343.34000000003</v>
      </c>
      <c r="G531" s="18">
        <v>138983.15</v>
      </c>
      <c r="H531" s="18">
        <v>4780.74</v>
      </c>
      <c r="I531" s="18">
        <v>394.26</v>
      </c>
      <c r="J531" s="18">
        <v>22915.96</v>
      </c>
      <c r="K531" s="18">
        <v>3580.58</v>
      </c>
      <c r="L531" s="88">
        <f>SUM(F531:K531)</f>
        <v>448998.03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21575.75</v>
      </c>
      <c r="G533" s="18">
        <v>10773.26</v>
      </c>
      <c r="H533" s="18"/>
      <c r="I533" s="18"/>
      <c r="J533" s="18"/>
      <c r="K533" s="18"/>
      <c r="L533" s="88">
        <f>SUM(F533:K533)</f>
        <v>32349.010000000002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299919.09000000003</v>
      </c>
      <c r="G534" s="89">
        <f t="shared" ref="G534:L534" si="38">SUM(G531:G533)</f>
        <v>149756.41</v>
      </c>
      <c r="H534" s="89">
        <f t="shared" si="38"/>
        <v>4780.74</v>
      </c>
      <c r="I534" s="89">
        <f t="shared" si="38"/>
        <v>394.26</v>
      </c>
      <c r="J534" s="89">
        <f t="shared" si="38"/>
        <v>22915.96</v>
      </c>
      <c r="K534" s="89">
        <f t="shared" si="38"/>
        <v>3580.58</v>
      </c>
      <c r="L534" s="89">
        <f t="shared" si="38"/>
        <v>481347.04000000004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4484.95</v>
      </c>
      <c r="I536" s="18"/>
      <c r="J536" s="18"/>
      <c r="K536" s="18"/>
      <c r="L536" s="88">
        <f>SUM(F536:K536)</f>
        <v>4484.95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1675.57</v>
      </c>
      <c r="I537" s="18"/>
      <c r="J537" s="18"/>
      <c r="K537" s="18"/>
      <c r="L537" s="88">
        <f>SUM(F537:K537)</f>
        <v>1675.57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3148.22</v>
      </c>
      <c r="I538" s="18"/>
      <c r="J538" s="18"/>
      <c r="K538" s="18"/>
      <c r="L538" s="88">
        <f>SUM(F538:K538)</f>
        <v>3148.22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9308.74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9308.74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5787.92</v>
      </c>
      <c r="G541" s="18">
        <v>2750.08</v>
      </c>
      <c r="H541" s="18">
        <v>366249.11</v>
      </c>
      <c r="I541" s="18"/>
      <c r="J541" s="18"/>
      <c r="K541" s="18"/>
      <c r="L541" s="88">
        <f>SUM(F541:K541)</f>
        <v>374787.11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2162.36</v>
      </c>
      <c r="G542" s="18">
        <v>1027.42</v>
      </c>
      <c r="H542" s="18">
        <v>136830.29999999999</v>
      </c>
      <c r="I542" s="18"/>
      <c r="J542" s="18"/>
      <c r="K542" s="18"/>
      <c r="L542" s="88">
        <f>SUM(F542:K542)</f>
        <v>140020.07999999999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4062.84</v>
      </c>
      <c r="G543" s="18">
        <v>1930.41</v>
      </c>
      <c r="H543" s="18">
        <v>257088.94</v>
      </c>
      <c r="I543" s="18"/>
      <c r="J543" s="18"/>
      <c r="K543" s="18"/>
      <c r="L543" s="88">
        <f>SUM(F543:K543)</f>
        <v>263082.19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12013.12</v>
      </c>
      <c r="G544" s="193">
        <f t="shared" ref="G544:L544" si="40">SUM(G541:G543)</f>
        <v>5707.91</v>
      </c>
      <c r="H544" s="193">
        <f t="shared" si="40"/>
        <v>760168.35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777889.37999999989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6418145.5000000009</v>
      </c>
      <c r="G545" s="89">
        <f t="shared" ref="G545:L545" si="41">G524+G529+G534+G539+G544</f>
        <v>3204435.2300000004</v>
      </c>
      <c r="H545" s="89">
        <f t="shared" si="41"/>
        <v>3062358.8800000004</v>
      </c>
      <c r="I545" s="89">
        <f t="shared" si="41"/>
        <v>46544.55</v>
      </c>
      <c r="J545" s="89">
        <f t="shared" si="41"/>
        <v>22915.96</v>
      </c>
      <c r="K545" s="89">
        <f t="shared" si="41"/>
        <v>3580.58</v>
      </c>
      <c r="L545" s="89">
        <f t="shared" si="41"/>
        <v>12757980.700000003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5193843.1500000004</v>
      </c>
      <c r="G549" s="87">
        <f>L526</f>
        <v>1455789.51</v>
      </c>
      <c r="H549" s="87">
        <f>L531</f>
        <v>448998.03</v>
      </c>
      <c r="I549" s="87">
        <f>L536</f>
        <v>4484.95</v>
      </c>
      <c r="J549" s="87">
        <f>L541</f>
        <v>374787.11</v>
      </c>
      <c r="K549" s="87">
        <f>SUM(F549:J549)</f>
        <v>7477902.7500000009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1442704.29</v>
      </c>
      <c r="G550" s="87">
        <f>L527</f>
        <v>253523.46</v>
      </c>
      <c r="H550" s="87">
        <f>L532</f>
        <v>0</v>
      </c>
      <c r="I550" s="87">
        <f>L537</f>
        <v>1675.57</v>
      </c>
      <c r="J550" s="87">
        <f>L542</f>
        <v>140020.07999999999</v>
      </c>
      <c r="K550" s="87">
        <f>SUM(F550:J550)</f>
        <v>1837923.4000000001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2861964.8500000006</v>
      </c>
      <c r="G551" s="87">
        <f>L528</f>
        <v>281610.28000000003</v>
      </c>
      <c r="H551" s="87">
        <f>L533</f>
        <v>32349.010000000002</v>
      </c>
      <c r="I551" s="87">
        <f>L538</f>
        <v>3148.22</v>
      </c>
      <c r="J551" s="87">
        <f>L543</f>
        <v>263082.19</v>
      </c>
      <c r="K551" s="87">
        <f>SUM(F551:J551)</f>
        <v>3442154.5500000007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9498512.290000001</v>
      </c>
      <c r="G552" s="89">
        <f t="shared" si="42"/>
        <v>1990923.25</v>
      </c>
      <c r="H552" s="89">
        <f t="shared" si="42"/>
        <v>481347.04000000004</v>
      </c>
      <c r="I552" s="89">
        <f t="shared" si="42"/>
        <v>9308.74</v>
      </c>
      <c r="J552" s="89">
        <f t="shared" si="42"/>
        <v>777889.37999999989</v>
      </c>
      <c r="K552" s="89">
        <f t="shared" si="42"/>
        <v>12757980.700000001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3663.05</v>
      </c>
      <c r="G562" s="18">
        <v>1829.04</v>
      </c>
      <c r="H562" s="18"/>
      <c r="I562" s="18"/>
      <c r="J562" s="18"/>
      <c r="K562" s="18"/>
      <c r="L562" s="88">
        <f>SUM(F562:K562)</f>
        <v>5492.09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49574.51</v>
      </c>
      <c r="G563" s="18">
        <v>24753.68</v>
      </c>
      <c r="H563" s="18"/>
      <c r="I563" s="18"/>
      <c r="J563" s="18"/>
      <c r="K563" s="18"/>
      <c r="L563" s="88">
        <f>SUM(F563:K563)</f>
        <v>74328.19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2571.2800000000002</v>
      </c>
      <c r="G564" s="18">
        <v>1283.9000000000001</v>
      </c>
      <c r="H564" s="18"/>
      <c r="I564" s="18"/>
      <c r="J564" s="18"/>
      <c r="K564" s="18"/>
      <c r="L564" s="88">
        <f>SUM(F564:K564)</f>
        <v>3855.1800000000003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55808.840000000004</v>
      </c>
      <c r="G565" s="89">
        <f t="shared" si="44"/>
        <v>27866.620000000003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83675.459999999992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274583.36</v>
      </c>
      <c r="G567" s="18">
        <v>137105.70000000001</v>
      </c>
      <c r="H567" s="18"/>
      <c r="I567" s="18">
        <v>11391.56</v>
      </c>
      <c r="J567" s="18"/>
      <c r="K567" s="18"/>
      <c r="L567" s="88">
        <f>SUM(F567:K567)</f>
        <v>423080.62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32685.5</v>
      </c>
      <c r="G568" s="18">
        <v>16320.61</v>
      </c>
      <c r="H568" s="18"/>
      <c r="I568" s="18">
        <v>2929.21</v>
      </c>
      <c r="J568" s="18"/>
      <c r="K568" s="18"/>
      <c r="L568" s="88">
        <f>SUM(F568:K568)</f>
        <v>51935.32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307268.86</v>
      </c>
      <c r="G570" s="193">
        <f t="shared" ref="G570:L570" si="45">SUM(G567:G569)</f>
        <v>153426.31</v>
      </c>
      <c r="H570" s="193">
        <f t="shared" si="45"/>
        <v>0</v>
      </c>
      <c r="I570" s="193">
        <f t="shared" si="45"/>
        <v>14320.77</v>
      </c>
      <c r="J570" s="193">
        <f t="shared" si="45"/>
        <v>0</v>
      </c>
      <c r="K570" s="193">
        <f t="shared" si="45"/>
        <v>0</v>
      </c>
      <c r="L570" s="193">
        <f t="shared" si="45"/>
        <v>475015.94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363077.7</v>
      </c>
      <c r="G571" s="89">
        <f t="shared" ref="G571:L571" si="46">G560+G565+G570</f>
        <v>181292.93</v>
      </c>
      <c r="H571" s="89">
        <f t="shared" si="46"/>
        <v>0</v>
      </c>
      <c r="I571" s="89">
        <f t="shared" si="46"/>
        <v>14320.77</v>
      </c>
      <c r="J571" s="89">
        <f t="shared" si="46"/>
        <v>0</v>
      </c>
      <c r="K571" s="89">
        <f t="shared" si="46"/>
        <v>0</v>
      </c>
      <c r="L571" s="89">
        <f t="shared" si="46"/>
        <v>558691.4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6043.53</v>
      </c>
      <c r="G579" s="18"/>
      <c r="H579" s="18">
        <v>2094.71</v>
      </c>
      <c r="I579" s="87">
        <f t="shared" si="47"/>
        <v>8138.24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370537.37</v>
      </c>
      <c r="G582" s="18">
        <v>43297.3</v>
      </c>
      <c r="H582" s="18">
        <v>400743.62</v>
      </c>
      <c r="I582" s="87">
        <f t="shared" si="47"/>
        <v>814578.29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221165.02</v>
      </c>
      <c r="I583" s="87">
        <f t="shared" si="47"/>
        <v>221165.02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53589.919999999998</v>
      </c>
      <c r="I584" s="87">
        <f t="shared" si="47"/>
        <v>53589.919999999998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854427.56</v>
      </c>
      <c r="I591" s="18">
        <v>311129.89</v>
      </c>
      <c r="J591" s="18">
        <v>503714.28</v>
      </c>
      <c r="K591" s="104">
        <f t="shared" ref="K591:K597" si="48">SUM(H591:J591)</f>
        <v>1669271.7300000002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374787.11</v>
      </c>
      <c r="I592" s="18">
        <v>140020.07999999999</v>
      </c>
      <c r="J592" s="18">
        <v>263082.19</v>
      </c>
      <c r="K592" s="104">
        <f t="shared" si="48"/>
        <v>777889.37999999989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12583.4</v>
      </c>
      <c r="J594" s="18">
        <v>84609.96</v>
      </c>
      <c r="K594" s="104">
        <f t="shared" si="48"/>
        <v>97193.36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11442.03</v>
      </c>
      <c r="K595" s="104">
        <f t="shared" si="48"/>
        <v>11442.03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1229214.67</v>
      </c>
      <c r="I598" s="108">
        <f>SUM(I591:I597)</f>
        <v>463733.37</v>
      </c>
      <c r="J598" s="108">
        <f>SUM(J591:J597)</f>
        <v>862848.46</v>
      </c>
      <c r="K598" s="108">
        <f>SUM(K591:K597)</f>
        <v>2555796.5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167701.19</v>
      </c>
      <c r="I604" s="18">
        <v>46918.5</v>
      </c>
      <c r="J604" s="18">
        <v>117014.42</v>
      </c>
      <c r="K604" s="104">
        <f>SUM(H604:J604)</f>
        <v>331634.11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167701.19</v>
      </c>
      <c r="I605" s="108">
        <f>SUM(I602:I604)</f>
        <v>46918.5</v>
      </c>
      <c r="J605" s="108">
        <f>SUM(J602:J604)</f>
        <v>117014.42</v>
      </c>
      <c r="K605" s="108">
        <f>SUM(K602:K604)</f>
        <v>331634.11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5722.24</v>
      </c>
      <c r="G612" s="18">
        <v>1258.8900000000001</v>
      </c>
      <c r="H612" s="18"/>
      <c r="I612" s="18"/>
      <c r="J612" s="18"/>
      <c r="K612" s="18"/>
      <c r="L612" s="88">
        <f>SUM(F612:K612)</f>
        <v>6981.13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76756.3</v>
      </c>
      <c r="G613" s="18">
        <v>16721.560000000001</v>
      </c>
      <c r="H613" s="18"/>
      <c r="I613" s="18"/>
      <c r="J613" s="18"/>
      <c r="K613" s="18"/>
      <c r="L613" s="88">
        <f>SUM(F613:K613)</f>
        <v>93477.86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82478.540000000008</v>
      </c>
      <c r="G614" s="108">
        <f t="shared" si="49"/>
        <v>17980.45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100458.99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6639979.3499999996</v>
      </c>
      <c r="H617" s="109">
        <f>SUM(F52)</f>
        <v>6639979.3499999996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339025.55</v>
      </c>
      <c r="H618" s="109">
        <f>SUM(G52)</f>
        <v>339025.55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347943.99</v>
      </c>
      <c r="H619" s="109">
        <f>SUM(H52)</f>
        <v>347943.99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257767.49</v>
      </c>
      <c r="H620" s="109">
        <f>SUM(I52)</f>
        <v>257767.49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471731.91000000003</v>
      </c>
      <c r="H621" s="109">
        <f>SUM(J52)</f>
        <v>471731.91000000003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3233126.3099999996</v>
      </c>
      <c r="H622" s="109">
        <f>F476</f>
        <v>3233126.3099999949</v>
      </c>
      <c r="I622" s="121" t="s">
        <v>101</v>
      </c>
      <c r="J622" s="109">
        <f t="shared" ref="J622:J655" si="50">G622-H622</f>
        <v>4.6566128730773926E-9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260176.78</v>
      </c>
      <c r="H623" s="109">
        <f>G476</f>
        <v>260176.78000000003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257767.49</v>
      </c>
      <c r="H625" s="109">
        <f>I476</f>
        <v>257767.49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471731.91000000003</v>
      </c>
      <c r="H626" s="109">
        <f>J476</f>
        <v>471731.91000000003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59049413.359999999</v>
      </c>
      <c r="H627" s="104">
        <f>SUM(F468)</f>
        <v>59049413.359999999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1668512.8599999999</v>
      </c>
      <c r="H628" s="104">
        <f>SUM(G468)</f>
        <v>1668512.86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1199294.42</v>
      </c>
      <c r="H629" s="104">
        <f>SUM(H468)</f>
        <v>1199294.42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556.53</v>
      </c>
      <c r="H631" s="104">
        <f>SUM(J468)</f>
        <v>556.53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58794891.960000001</v>
      </c>
      <c r="H632" s="104">
        <f>SUM(F472)</f>
        <v>58794891.960000001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1199294.4199999997</v>
      </c>
      <c r="H633" s="104">
        <f>SUM(H472)</f>
        <v>1199294.42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1006165.4000000001</v>
      </c>
      <c r="H634" s="104">
        <f>I369</f>
        <v>1006165.3999999999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1668029.7300000002</v>
      </c>
      <c r="H635" s="104">
        <f>SUM(G472)</f>
        <v>1668029.73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556.53</v>
      </c>
      <c r="H637" s="164">
        <f>SUM(J468)</f>
        <v>556.53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318270.14</v>
      </c>
      <c r="H639" s="104">
        <f>SUM(F461)</f>
        <v>318270.14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153461.76999999999</v>
      </c>
      <c r="H640" s="104">
        <f>SUM(G461)</f>
        <v>153461.76999999999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471731.91000000003</v>
      </c>
      <c r="H642" s="104">
        <f>SUM(I461)</f>
        <v>471731.91000000003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556.53</v>
      </c>
      <c r="H644" s="104">
        <f>H408</f>
        <v>556.53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556.53</v>
      </c>
      <c r="H646" s="104">
        <f>L408</f>
        <v>556.53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2555796.5</v>
      </c>
      <c r="H647" s="104">
        <f>L208+L226+L244</f>
        <v>2555796.5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331634.11</v>
      </c>
      <c r="H648" s="104">
        <f>(J257+J338)-(J255+J336)</f>
        <v>331634.11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1229214.67</v>
      </c>
      <c r="H649" s="104">
        <f>H598</f>
        <v>1229214.67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463733.37</v>
      </c>
      <c r="H650" s="104">
        <f>I598</f>
        <v>463733.37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862848.46</v>
      </c>
      <c r="H651" s="104">
        <f>J598</f>
        <v>862848.46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1537.12</v>
      </c>
      <c r="H652" s="104">
        <f>K263+K345</f>
        <v>1537.12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28688745.289999999</v>
      </c>
      <c r="G660" s="19">
        <f>(L229+L309+L359)</f>
        <v>9847385.799999997</v>
      </c>
      <c r="H660" s="19">
        <f>(L247+L328+L360)</f>
        <v>18937256.310000002</v>
      </c>
      <c r="I660" s="19">
        <f>SUM(F660:H660)</f>
        <v>57473387.399999999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641578.60719714861</v>
      </c>
      <c r="G661" s="19">
        <f>(L359/IF(SUM(L358:L360)=0,1,SUM(L358:L360))*(SUM(G97:G110)))</f>
        <v>291728.2048579565</v>
      </c>
      <c r="H661" s="19">
        <f>(L360/IF(SUM(L358:L360)=0,1,SUM(L358:L360))*(SUM(G97:G110)))</f>
        <v>493324.88794489467</v>
      </c>
      <c r="I661" s="19">
        <f>SUM(F661:H661)</f>
        <v>1426631.6999999997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1229214.67</v>
      </c>
      <c r="G662" s="19">
        <f>(L226+L306)-(J226+J306)</f>
        <v>463733.37</v>
      </c>
      <c r="H662" s="19">
        <f>(L244+L325)-(J244+J325)</f>
        <v>862848.46</v>
      </c>
      <c r="I662" s="19">
        <f>SUM(F662:H662)</f>
        <v>2555796.5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544282.09000000008</v>
      </c>
      <c r="G663" s="199">
        <f>SUM(G575:G587)+SUM(I602:I604)+L612</f>
        <v>97196.930000000008</v>
      </c>
      <c r="H663" s="199">
        <f>SUM(H575:H587)+SUM(J602:J604)+L613</f>
        <v>888085.55</v>
      </c>
      <c r="I663" s="19">
        <f>SUM(F663:H663)</f>
        <v>1529564.5700000003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26273669.922802851</v>
      </c>
      <c r="G664" s="19">
        <f>G660-SUM(G661:G663)</f>
        <v>8994727.2951420397</v>
      </c>
      <c r="H664" s="19">
        <f>H660-SUM(H661:H663)</f>
        <v>16692997.412055109</v>
      </c>
      <c r="I664" s="19">
        <f>I660-SUM(I661:I663)</f>
        <v>51961394.629999995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2082.6</v>
      </c>
      <c r="G665" s="248">
        <v>778.22</v>
      </c>
      <c r="H665" s="248">
        <v>1461.38</v>
      </c>
      <c r="I665" s="19">
        <f>SUM(F665:H665)</f>
        <v>4322.2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12615.8</v>
      </c>
      <c r="G667" s="19">
        <f>ROUND(G664/G665,2)</f>
        <v>11558.08</v>
      </c>
      <c r="H667" s="19">
        <f>ROUND(H664/H665,2)</f>
        <v>11422.76</v>
      </c>
      <c r="I667" s="19">
        <f>ROUND(I664/I665,2)</f>
        <v>12021.98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-17.059999999999999</v>
      </c>
      <c r="I670" s="19">
        <f>SUM(F670:H670)</f>
        <v>-17.059999999999999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12615.8</v>
      </c>
      <c r="G672" s="19">
        <f>ROUND((G664+G669)/(G665+G670),2)</f>
        <v>11558.08</v>
      </c>
      <c r="H672" s="19">
        <f>ROUND((H664+H669)/(H665+H670),2)</f>
        <v>11557.69</v>
      </c>
      <c r="I672" s="19">
        <f>ROUND((I664+I669)/(I665+I670),2)</f>
        <v>12069.62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8" sqref="E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Bedford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16664825.039999999</v>
      </c>
      <c r="C9" s="229">
        <f>'DOE25'!G197+'DOE25'!G215+'DOE25'!G233+'DOE25'!G276+'DOE25'!G295+'DOE25'!G314</f>
        <v>8224892.21</v>
      </c>
    </row>
    <row r="10" spans="1:3" x14ac:dyDescent="0.2">
      <c r="A10" t="s">
        <v>779</v>
      </c>
      <c r="B10" s="240">
        <v>15585489.5</v>
      </c>
      <c r="C10" s="240">
        <v>7760712.3200000003</v>
      </c>
    </row>
    <row r="11" spans="1:3" x14ac:dyDescent="0.2">
      <c r="A11" t="s">
        <v>780</v>
      </c>
      <c r="B11" s="240">
        <v>444349.29</v>
      </c>
      <c r="C11" s="240">
        <v>221873.69</v>
      </c>
    </row>
    <row r="12" spans="1:3" x14ac:dyDescent="0.2">
      <c r="A12" t="s">
        <v>781</v>
      </c>
      <c r="B12" s="240">
        <v>634986.25</v>
      </c>
      <c r="C12" s="240">
        <v>242306.2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16664825.039999999</v>
      </c>
      <c r="C13" s="231">
        <f>SUM(C10:C12)</f>
        <v>8224892.2100000009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5818202.6799999997</v>
      </c>
      <c r="C18" s="229">
        <f>'DOE25'!G198+'DOE25'!G216+'DOE25'!G234+'DOE25'!G277+'DOE25'!G296+'DOE25'!G315</f>
        <v>2636522.4300000002</v>
      </c>
    </row>
    <row r="19" spans="1:3" x14ac:dyDescent="0.2">
      <c r="A19" t="s">
        <v>779</v>
      </c>
      <c r="B19" s="240">
        <v>3555605.84</v>
      </c>
      <c r="C19" s="240">
        <v>1586040.06</v>
      </c>
    </row>
    <row r="20" spans="1:3" x14ac:dyDescent="0.2">
      <c r="A20" t="s">
        <v>780</v>
      </c>
      <c r="B20" s="240">
        <v>1993582.06</v>
      </c>
      <c r="C20" s="240">
        <v>916157.19</v>
      </c>
    </row>
    <row r="21" spans="1:3" x14ac:dyDescent="0.2">
      <c r="A21" t="s">
        <v>781</v>
      </c>
      <c r="B21" s="240">
        <v>269014.78000000003</v>
      </c>
      <c r="C21" s="240">
        <v>134325.18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5818202.6800000006</v>
      </c>
      <c r="C22" s="231">
        <f>SUM(C19:C21)</f>
        <v>2636522.4300000002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663238.06000000006</v>
      </c>
      <c r="C36" s="235">
        <f>'DOE25'!G200+'DOE25'!G218+'DOE25'!G236+'DOE25'!G279+'DOE25'!G298+'DOE25'!G317</f>
        <v>331169.82</v>
      </c>
    </row>
    <row r="37" spans="1:3" x14ac:dyDescent="0.2">
      <c r="A37" t="s">
        <v>779</v>
      </c>
      <c r="B37" s="240">
        <v>565792.96</v>
      </c>
      <c r="C37" s="240">
        <v>282513.27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97445.1</v>
      </c>
      <c r="C39" s="240">
        <v>48656.55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663238.05999999994</v>
      </c>
      <c r="C40" s="231">
        <f>SUM(C37:C39)</f>
        <v>331169.82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Bedford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35953388.779999994</v>
      </c>
      <c r="D5" s="20">
        <f>SUM('DOE25'!L197:L200)+SUM('DOE25'!L215:L218)+SUM('DOE25'!L233:L236)-F5-G5</f>
        <v>35840466.43999999</v>
      </c>
      <c r="E5" s="243"/>
      <c r="F5" s="255">
        <f>SUM('DOE25'!J197:J200)+SUM('DOE25'!J215:J218)+SUM('DOE25'!J233:J236)</f>
        <v>44787.07</v>
      </c>
      <c r="G5" s="53">
        <f>SUM('DOE25'!K197:K200)+SUM('DOE25'!K215:K218)+SUM('DOE25'!K233:K236)</f>
        <v>68135.26999999999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3769219.21</v>
      </c>
      <c r="D6" s="20">
        <f>'DOE25'!L202+'DOE25'!L220+'DOE25'!L238-F6-G6</f>
        <v>3769219.21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1304715.9100000001</v>
      </c>
      <c r="D7" s="20">
        <f>'DOE25'!L203+'DOE25'!L221+'DOE25'!L239-F7-G7</f>
        <v>1037493.3900000002</v>
      </c>
      <c r="E7" s="243"/>
      <c r="F7" s="255">
        <f>'DOE25'!J203+'DOE25'!J221+'DOE25'!J239</f>
        <v>227642.38</v>
      </c>
      <c r="G7" s="53">
        <f>'DOE25'!K203+'DOE25'!K221+'DOE25'!K239</f>
        <v>39580.14</v>
      </c>
      <c r="H7" s="259"/>
    </row>
    <row r="8" spans="1:9" x14ac:dyDescent="0.2">
      <c r="A8" s="32">
        <v>2300</v>
      </c>
      <c r="B8" t="s">
        <v>802</v>
      </c>
      <c r="C8" s="245">
        <f t="shared" si="0"/>
        <v>773587.23</v>
      </c>
      <c r="D8" s="243"/>
      <c r="E8" s="20">
        <f>'DOE25'!L204+'DOE25'!L222+'DOE25'!L240-F8-G8-D9-D11</f>
        <v>733844.33000000007</v>
      </c>
      <c r="F8" s="255">
        <f>'DOE25'!J204+'DOE25'!J222+'DOE25'!J240</f>
        <v>22915.96</v>
      </c>
      <c r="G8" s="53">
        <f>'DOE25'!K204+'DOE25'!K222+'DOE25'!K240</f>
        <v>16826.939999999999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10187.24</v>
      </c>
      <c r="D9" s="244">
        <v>10187.24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13675</v>
      </c>
      <c r="D10" s="243"/>
      <c r="E10" s="244">
        <v>13675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485092.3</v>
      </c>
      <c r="D11" s="244">
        <v>485092.3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3954918.2500000005</v>
      </c>
      <c r="D12" s="20">
        <f>'DOE25'!L205+'DOE25'!L223+'DOE25'!L241-F12-G12</f>
        <v>3895403.1500000004</v>
      </c>
      <c r="E12" s="243"/>
      <c r="F12" s="255">
        <f>'DOE25'!J205+'DOE25'!J223+'DOE25'!J241</f>
        <v>3959</v>
      </c>
      <c r="G12" s="53">
        <f>'DOE25'!K205+'DOE25'!K223+'DOE25'!K241</f>
        <v>55556.1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580175.76</v>
      </c>
      <c r="D13" s="243"/>
      <c r="E13" s="20">
        <f>'DOE25'!L206+'DOE25'!L224+'DOE25'!L242-F13-G13</f>
        <v>580175.76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5181101.01</v>
      </c>
      <c r="D14" s="20">
        <f>'DOE25'!L207+'DOE25'!L225+'DOE25'!L243-F14-G14</f>
        <v>5163351.46</v>
      </c>
      <c r="E14" s="243"/>
      <c r="F14" s="255">
        <f>'DOE25'!J207+'DOE25'!J225+'DOE25'!J243</f>
        <v>17587.72</v>
      </c>
      <c r="G14" s="53">
        <f>'DOE25'!K207+'DOE25'!K225+'DOE25'!K243</f>
        <v>161.82999999999998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2555796.5</v>
      </c>
      <c r="D15" s="20">
        <f>'DOE25'!L208+'DOE25'!L226+'DOE25'!L244-F15-G15</f>
        <v>2555796.5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42625.96</v>
      </c>
      <c r="D16" s="243"/>
      <c r="E16" s="20">
        <f>'DOE25'!L209+'DOE25'!L227+'DOE25'!L245-F16-G16</f>
        <v>42625.96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27587.530000000002</v>
      </c>
      <c r="D17" s="20">
        <f>'DOE25'!L251-F17-G17</f>
        <v>27587.530000000002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4154959.16</v>
      </c>
      <c r="D25" s="243"/>
      <c r="E25" s="243"/>
      <c r="F25" s="258"/>
      <c r="G25" s="256"/>
      <c r="H25" s="257">
        <f>'DOE25'!L260+'DOE25'!L261+'DOE25'!L341+'DOE25'!L342</f>
        <v>4154959.16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735080.30000000028</v>
      </c>
      <c r="D29" s="20">
        <f>'DOE25'!L358+'DOE25'!L359+'DOE25'!L360-'DOE25'!I367-F29-G29</f>
        <v>711450.67000000027</v>
      </c>
      <c r="E29" s="243"/>
      <c r="F29" s="255">
        <f>'DOE25'!J358+'DOE25'!J359+'DOE25'!J360</f>
        <v>21897.13</v>
      </c>
      <c r="G29" s="53">
        <f>'DOE25'!K358+'DOE25'!K359+'DOE25'!K360</f>
        <v>1732.5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1199294.4199999997</v>
      </c>
      <c r="D31" s="20">
        <f>'DOE25'!L290+'DOE25'!L309+'DOE25'!L328+'DOE25'!L333+'DOE25'!L334+'DOE25'!L335-F31-G31</f>
        <v>1184552.4399999997</v>
      </c>
      <c r="E31" s="243"/>
      <c r="F31" s="255">
        <f>'DOE25'!J290+'DOE25'!J309+'DOE25'!J328+'DOE25'!J333+'DOE25'!J334+'DOE25'!J335</f>
        <v>14741.98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54680600.329999991</v>
      </c>
      <c r="E33" s="246">
        <f>SUM(E5:E31)</f>
        <v>1370321.05</v>
      </c>
      <c r="F33" s="246">
        <f>SUM(F5:F31)</f>
        <v>353531.24</v>
      </c>
      <c r="G33" s="246">
        <f>SUM(G5:G31)</f>
        <v>181992.77999999997</v>
      </c>
      <c r="H33" s="246">
        <f>SUM(H5:H31)</f>
        <v>4154959.16</v>
      </c>
    </row>
    <row r="35" spans="2:8" ht="12" thickBot="1" x14ac:dyDescent="0.25">
      <c r="B35" s="253" t="s">
        <v>847</v>
      </c>
      <c r="D35" s="254">
        <f>E33</f>
        <v>1370321.05</v>
      </c>
      <c r="E35" s="249"/>
    </row>
    <row r="36" spans="2:8" ht="12" thickTop="1" x14ac:dyDescent="0.2">
      <c r="B36" t="s">
        <v>815</v>
      </c>
      <c r="D36" s="20">
        <f>D33</f>
        <v>54680600.329999991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Bedford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6459624.3300000001</v>
      </c>
      <c r="D8" s="95">
        <f>'DOE25'!G9</f>
        <v>497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317058.43</v>
      </c>
      <c r="E11" s="95">
        <f>'DOE25'!H12</f>
        <v>0</v>
      </c>
      <c r="F11" s="95">
        <f>'DOE25'!I12</f>
        <v>257767.49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77599.55</v>
      </c>
      <c r="D12" s="95">
        <f>'DOE25'!G13</f>
        <v>14222.87</v>
      </c>
      <c r="E12" s="95">
        <f>'DOE25'!H13</f>
        <v>347943.99</v>
      </c>
      <c r="F12" s="95">
        <f>'DOE25'!I13</f>
        <v>0</v>
      </c>
      <c r="G12" s="95">
        <f>'DOE25'!J13</f>
        <v>471731.91000000003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58518.21</v>
      </c>
      <c r="D13" s="95">
        <f>'DOE25'!G14</f>
        <v>1112.25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44237.26</v>
      </c>
      <c r="D16" s="95">
        <f>'DOE25'!G17</f>
        <v>6135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6639979.3499999996</v>
      </c>
      <c r="D18" s="41">
        <f>SUM(D8:D17)</f>
        <v>339025.55</v>
      </c>
      <c r="E18" s="41">
        <f>SUM(E8:E17)</f>
        <v>347943.99</v>
      </c>
      <c r="F18" s="41">
        <f>SUM(F8:F17)</f>
        <v>257767.49</v>
      </c>
      <c r="G18" s="41">
        <f>SUM(G8:G17)</f>
        <v>471731.91000000003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337655.77</v>
      </c>
      <c r="D21" s="95">
        <f>'DOE25'!G22</f>
        <v>0</v>
      </c>
      <c r="E21" s="95">
        <f>'DOE25'!H22</f>
        <v>237170.15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129867.17</v>
      </c>
      <c r="D23" s="95">
        <f>'DOE25'!G24</f>
        <v>567.17999999999995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2837295.1</v>
      </c>
      <c r="D27" s="95">
        <f>'DOE25'!G28</f>
        <v>10038.61</v>
      </c>
      <c r="E27" s="95">
        <f>'DOE25'!H28</f>
        <v>95719.77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102035</v>
      </c>
      <c r="D29" s="95">
        <f>'DOE25'!G30</f>
        <v>68242.98</v>
      </c>
      <c r="E29" s="95">
        <f>'DOE25'!H30</f>
        <v>15054.07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3406853.04</v>
      </c>
      <c r="D31" s="41">
        <f>SUM(D21:D30)</f>
        <v>78848.76999999999</v>
      </c>
      <c r="E31" s="41">
        <f>SUM(E21:E30)</f>
        <v>347943.99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44237.26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260176.78</v>
      </c>
      <c r="E47" s="95">
        <f>'DOE25'!H48</f>
        <v>0</v>
      </c>
      <c r="F47" s="95">
        <f>'DOE25'!I48</f>
        <v>257767.49</v>
      </c>
      <c r="G47" s="95">
        <f>'DOE25'!J48</f>
        <v>471731.91000000003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128964.52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3059924.53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3233126.3099999996</v>
      </c>
      <c r="D50" s="41">
        <f>SUM(D34:D49)</f>
        <v>260176.78</v>
      </c>
      <c r="E50" s="41">
        <f>SUM(E34:E49)</f>
        <v>0</v>
      </c>
      <c r="F50" s="41">
        <f>SUM(F34:F49)</f>
        <v>257767.49</v>
      </c>
      <c r="G50" s="41">
        <f>SUM(G34:G49)</f>
        <v>471731.91000000003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6639979.3499999996</v>
      </c>
      <c r="D51" s="41">
        <f>D50+D31</f>
        <v>339025.55</v>
      </c>
      <c r="E51" s="41">
        <f>E50+E31</f>
        <v>347943.99</v>
      </c>
      <c r="F51" s="41">
        <f>F50+F31</f>
        <v>257767.49</v>
      </c>
      <c r="G51" s="41">
        <f>G50+G31</f>
        <v>471731.91000000003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44521940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193223.31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10485.68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556.53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1426631.7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526297.62</v>
      </c>
      <c r="D61" s="95">
        <f>SUM('DOE25'!G98:G110)</f>
        <v>0</v>
      </c>
      <c r="E61" s="95">
        <f>SUM('DOE25'!H98:H110)</f>
        <v>8711.98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730006.61</v>
      </c>
      <c r="D62" s="130">
        <f>SUM(D57:D61)</f>
        <v>1426631.7</v>
      </c>
      <c r="E62" s="130">
        <f>SUM(E57:E61)</f>
        <v>8711.98</v>
      </c>
      <c r="F62" s="130">
        <f>SUM(F57:F61)</f>
        <v>0</v>
      </c>
      <c r="G62" s="130">
        <f>SUM(G57:G61)</f>
        <v>556.53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45251946.609999999</v>
      </c>
      <c r="D63" s="22">
        <f>D56+D62</f>
        <v>1426631.7</v>
      </c>
      <c r="E63" s="22">
        <f>E56+E62</f>
        <v>8711.98</v>
      </c>
      <c r="F63" s="22">
        <f>F56+F62</f>
        <v>0</v>
      </c>
      <c r="G63" s="22">
        <f>G56+G62</f>
        <v>556.53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4037770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7866227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15837.5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11919834.5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949758.25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462731.49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7483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20889.900000000001</v>
      </c>
      <c r="E77" s="95">
        <f>SUM('DOE25'!H131:H135)</f>
        <v>3787.9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1419972.74</v>
      </c>
      <c r="D78" s="130">
        <f>SUM(D72:D77)</f>
        <v>20889.900000000001</v>
      </c>
      <c r="E78" s="130">
        <f>SUM(E72:E77)</f>
        <v>3787.9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13339807.24</v>
      </c>
      <c r="D81" s="130">
        <f>SUM(D79:D80)+D78+D70</f>
        <v>20889.900000000001</v>
      </c>
      <c r="E81" s="130">
        <f>SUM(E79:E80)+E78+E70</f>
        <v>3787.9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457659.51</v>
      </c>
      <c r="D88" s="95">
        <f>SUM('DOE25'!G153:G161)</f>
        <v>219454.14</v>
      </c>
      <c r="E88" s="95">
        <f>SUM('DOE25'!H153:H161)</f>
        <v>1186794.54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457659.51</v>
      </c>
      <c r="D91" s="131">
        <f>SUM(D85:D90)</f>
        <v>219454.14</v>
      </c>
      <c r="E91" s="131">
        <f>SUM(E85:E90)</f>
        <v>1186794.54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1537.12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1537.12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59049413.359999999</v>
      </c>
      <c r="D104" s="86">
        <f>D63+D81+D91+D103</f>
        <v>1668512.8599999999</v>
      </c>
      <c r="E104" s="86">
        <f>E63+E81+E91+E103</f>
        <v>1199294.42</v>
      </c>
      <c r="F104" s="86">
        <f>F63+F81+F91+F103</f>
        <v>0</v>
      </c>
      <c r="G104" s="86">
        <f>G63+G81+G103</f>
        <v>556.53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25568162.709999997</v>
      </c>
      <c r="D109" s="24" t="s">
        <v>289</v>
      </c>
      <c r="E109" s="95">
        <f>('DOE25'!L276)+('DOE25'!L295)+('DOE25'!L314)</f>
        <v>316963.69999999995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9016894.5</v>
      </c>
      <c r="D110" s="24" t="s">
        <v>289</v>
      </c>
      <c r="E110" s="95">
        <f>('DOE25'!L277)+('DOE25'!L296)+('DOE25'!L315)</f>
        <v>699394.62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53589.919999999998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1314741.6499999999</v>
      </c>
      <c r="D112" s="24" t="s">
        <v>289</v>
      </c>
      <c r="E112" s="95">
        <f>+('DOE25'!L279)+('DOE25'!L298)+('DOE25'!L317)</f>
        <v>7572.83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27587.530000000002</v>
      </c>
      <c r="D114" s="24" t="s">
        <v>289</v>
      </c>
      <c r="E114" s="95">
        <f>+ SUM('DOE25'!L333:L335)</f>
        <v>4744.8999999999996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35980976.309999995</v>
      </c>
      <c r="D115" s="86">
        <f>SUM(D109:D114)</f>
        <v>0</v>
      </c>
      <c r="E115" s="86">
        <f>SUM(E109:E114)</f>
        <v>1028676.0499999999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3769219.21</v>
      </c>
      <c r="D118" s="24" t="s">
        <v>289</v>
      </c>
      <c r="E118" s="95">
        <f>+('DOE25'!L281)+('DOE25'!L300)+('DOE25'!L319)</f>
        <v>107785.34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1304715.9100000001</v>
      </c>
      <c r="D119" s="24" t="s">
        <v>289</v>
      </c>
      <c r="E119" s="95">
        <f>+('DOE25'!L282)+('DOE25'!L301)+('DOE25'!L320)</f>
        <v>62462.239999999998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1268866.77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3954918.2500000005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580175.76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5181101.01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2555796.5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42625.96</v>
      </c>
      <c r="D125" s="24" t="s">
        <v>289</v>
      </c>
      <c r="E125" s="95">
        <f>+('DOE25'!L288)+('DOE25'!L307)+('DOE25'!L326)</f>
        <v>370.78999999999996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1668029.7300000002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18657419.370000001</v>
      </c>
      <c r="D128" s="86">
        <f>SUM(D118:D127)</f>
        <v>1668029.7300000002</v>
      </c>
      <c r="E128" s="86">
        <f>SUM(E118:E127)</f>
        <v>170618.37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2933549.33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1221409.83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1537.12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375.48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181.05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-556.53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4156496.2800000003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58794891.959999993</v>
      </c>
      <c r="D145" s="86">
        <f>(D115+D128+D144)</f>
        <v>1668029.7300000002</v>
      </c>
      <c r="E145" s="86">
        <f>(E115+E128+E144)</f>
        <v>1199294.42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10</v>
      </c>
      <c r="E151" s="153">
        <f>'DOE25'!I490</f>
        <v>5</v>
      </c>
      <c r="F151" s="153">
        <f>'DOE25'!J490</f>
        <v>15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8/08</v>
      </c>
      <c r="C152" s="152" t="str">
        <f>'DOE25'!G491</f>
        <v>6/06</v>
      </c>
      <c r="D152" s="152" t="str">
        <f>'DOE25'!H491</f>
        <v>8/07</v>
      </c>
      <c r="E152" s="152" t="str">
        <f>'DOE25'!I491</f>
        <v>1/14</v>
      </c>
      <c r="F152" s="152" t="str">
        <f>'DOE25'!J491</f>
        <v>11/14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8/15</v>
      </c>
      <c r="C153" s="152" t="str">
        <f>'DOE25'!G492</f>
        <v>7/26</v>
      </c>
      <c r="D153" s="152" t="str">
        <f>'DOE25'!H492</f>
        <v>8/17</v>
      </c>
      <c r="E153" s="152" t="str">
        <f>'DOE25'!I492</f>
        <v>8/18</v>
      </c>
      <c r="F153" s="152" t="str">
        <f>'DOE25'!J492</f>
        <v>7/29</v>
      </c>
      <c r="G153" s="24" t="s">
        <v>289</v>
      </c>
    </row>
    <row r="154" spans="1:9" x14ac:dyDescent="0.2">
      <c r="A154" s="136" t="s">
        <v>30</v>
      </c>
      <c r="B154" s="137">
        <f>'DOE25'!F493</f>
        <v>3935000</v>
      </c>
      <c r="C154" s="137">
        <f>'DOE25'!G493</f>
        <v>800000</v>
      </c>
      <c r="D154" s="137">
        <f>'DOE25'!H493</f>
        <v>2681350</v>
      </c>
      <c r="E154" s="137">
        <f>'DOE25'!I493</f>
        <v>320653</v>
      </c>
      <c r="F154" s="137">
        <f>'DOE25'!J493</f>
        <v>32715000</v>
      </c>
      <c r="G154" s="24" t="s">
        <v>289</v>
      </c>
    </row>
    <row r="155" spans="1:9" x14ac:dyDescent="0.2">
      <c r="A155" s="136" t="s">
        <v>31</v>
      </c>
      <c r="B155" s="137">
        <f>'DOE25'!F494</f>
        <v>3.34</v>
      </c>
      <c r="C155" s="137">
        <f>'DOE25'!G494</f>
        <v>4.5199999999999996</v>
      </c>
      <c r="D155" s="137">
        <f>'DOE25'!H494</f>
        <v>4.28</v>
      </c>
      <c r="E155" s="137">
        <f>'DOE25'!I494</f>
        <v>2.68</v>
      </c>
      <c r="F155" s="137">
        <f>'DOE25'!J494</f>
        <v>2.63</v>
      </c>
      <c r="G155" s="24" t="s">
        <v>289</v>
      </c>
    </row>
    <row r="156" spans="1:9" x14ac:dyDescent="0.2">
      <c r="A156" s="22" t="s">
        <v>32</v>
      </c>
      <c r="B156" s="137">
        <f>'DOE25'!F495</f>
        <v>1935000</v>
      </c>
      <c r="C156" s="137">
        <f>'DOE25'!G495</f>
        <v>520000</v>
      </c>
      <c r="D156" s="137">
        <f>'DOE25'!H495</f>
        <v>1065000</v>
      </c>
      <c r="E156" s="137">
        <f>'DOE25'!I495</f>
        <v>320653</v>
      </c>
      <c r="F156" s="137">
        <f>'DOE25'!J495</f>
        <v>0</v>
      </c>
      <c r="G156" s="138">
        <f>SUM(B156:F156)</f>
        <v>3840653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32715000</v>
      </c>
      <c r="G157" s="138">
        <f t="shared" ref="G157:G164" si="0">SUM(B157:F157)</f>
        <v>32715000</v>
      </c>
    </row>
    <row r="158" spans="1:9" x14ac:dyDescent="0.2">
      <c r="A158" s="22" t="s">
        <v>34</v>
      </c>
      <c r="B158" s="137">
        <f>'DOE25'!F497</f>
        <v>390000</v>
      </c>
      <c r="C158" s="137">
        <f>'DOE25'!G497</f>
        <v>40000</v>
      </c>
      <c r="D158" s="137">
        <f>'DOE25'!H497</f>
        <v>270000</v>
      </c>
      <c r="E158" s="137">
        <f>'DOE25'!I497</f>
        <v>63596</v>
      </c>
      <c r="F158" s="137">
        <f>'DOE25'!J497</f>
        <v>2169953</v>
      </c>
      <c r="G158" s="138">
        <f t="shared" si="0"/>
        <v>2933549</v>
      </c>
    </row>
    <row r="159" spans="1:9" x14ac:dyDescent="0.2">
      <c r="A159" s="22" t="s">
        <v>35</v>
      </c>
      <c r="B159" s="137">
        <f>'DOE25'!F498</f>
        <v>1545000</v>
      </c>
      <c r="C159" s="137">
        <f>'DOE25'!G498</f>
        <v>480000</v>
      </c>
      <c r="D159" s="137">
        <f>'DOE25'!H498</f>
        <v>795000</v>
      </c>
      <c r="E159" s="137">
        <f>'DOE25'!I498</f>
        <v>257057</v>
      </c>
      <c r="F159" s="137">
        <f>'DOE25'!J498</f>
        <v>32160000</v>
      </c>
      <c r="G159" s="138">
        <f t="shared" si="0"/>
        <v>35237057</v>
      </c>
    </row>
    <row r="160" spans="1:9" x14ac:dyDescent="0.2">
      <c r="A160" s="22" t="s">
        <v>36</v>
      </c>
      <c r="B160" s="137">
        <f>'DOE25'!F499</f>
        <v>1678719</v>
      </c>
      <c r="C160" s="137">
        <f>'DOE25'!G499</f>
        <v>132015</v>
      </c>
      <c r="D160" s="137">
        <f>'DOE25'!H499</f>
        <v>59625</v>
      </c>
      <c r="E160" s="137">
        <f>'DOE25'!I499</f>
        <v>17476</v>
      </c>
      <c r="F160" s="137">
        <f>'DOE25'!J499</f>
        <v>11927325</v>
      </c>
      <c r="G160" s="138">
        <f t="shared" si="0"/>
        <v>13815160</v>
      </c>
    </row>
    <row r="161" spans="1:7" x14ac:dyDescent="0.2">
      <c r="A161" s="22" t="s">
        <v>37</v>
      </c>
      <c r="B161" s="137">
        <f>'DOE25'!F500</f>
        <v>3223719</v>
      </c>
      <c r="C161" s="137">
        <f>'DOE25'!G500</f>
        <v>612015</v>
      </c>
      <c r="D161" s="137">
        <f>'DOE25'!H500</f>
        <v>854625</v>
      </c>
      <c r="E161" s="137">
        <f>'DOE25'!I500</f>
        <v>274533</v>
      </c>
      <c r="F161" s="137">
        <f>'DOE25'!J500</f>
        <v>44087325</v>
      </c>
      <c r="G161" s="138">
        <f t="shared" si="0"/>
        <v>49052217</v>
      </c>
    </row>
    <row r="162" spans="1:7" x14ac:dyDescent="0.2">
      <c r="A162" s="22" t="s">
        <v>38</v>
      </c>
      <c r="B162" s="137">
        <f>'DOE25'!F501</f>
        <v>390000</v>
      </c>
      <c r="C162" s="137">
        <f>'DOE25'!G501</f>
        <v>40000</v>
      </c>
      <c r="D162" s="137">
        <f>'DOE25'!H501</f>
        <v>265000</v>
      </c>
      <c r="E162" s="137">
        <f>'DOE25'!I501</f>
        <v>61743</v>
      </c>
      <c r="F162" s="137">
        <f>'DOE25'!J501</f>
        <v>2070000</v>
      </c>
      <c r="G162" s="138">
        <f t="shared" si="0"/>
        <v>2826743</v>
      </c>
    </row>
    <row r="163" spans="1:7" x14ac:dyDescent="0.2">
      <c r="A163" s="22" t="s">
        <v>39</v>
      </c>
      <c r="B163" s="137">
        <f>'DOE25'!F502</f>
        <v>60438</v>
      </c>
      <c r="C163" s="137">
        <f>'DOE25'!G502</f>
        <v>20710</v>
      </c>
      <c r="D163" s="137">
        <f>'DOE25'!H502</f>
        <v>33125</v>
      </c>
      <c r="E163" s="137">
        <f>'DOE25'!I502</f>
        <v>6890</v>
      </c>
      <c r="F163" s="137">
        <f>'DOE25'!J502</f>
        <v>1303900</v>
      </c>
      <c r="G163" s="138">
        <f t="shared" si="0"/>
        <v>1425063</v>
      </c>
    </row>
    <row r="164" spans="1:7" x14ac:dyDescent="0.2">
      <c r="A164" s="22" t="s">
        <v>246</v>
      </c>
      <c r="B164" s="137">
        <f>'DOE25'!F503</f>
        <v>450438</v>
      </c>
      <c r="C164" s="137">
        <f>'DOE25'!G503</f>
        <v>60710</v>
      </c>
      <c r="D164" s="137">
        <f>'DOE25'!H503</f>
        <v>298125</v>
      </c>
      <c r="E164" s="137">
        <f>'DOE25'!I503</f>
        <v>68633</v>
      </c>
      <c r="F164" s="137">
        <f>'DOE25'!J503</f>
        <v>3373900</v>
      </c>
      <c r="G164" s="138">
        <f t="shared" si="0"/>
        <v>4251806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Bedford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12616</v>
      </c>
    </row>
    <row r="5" spans="1:4" x14ac:dyDescent="0.2">
      <c r="B5" t="s">
        <v>704</v>
      </c>
      <c r="C5" s="179">
        <f>IF('DOE25'!G665+'DOE25'!G670=0,0,ROUND('DOE25'!G672,0))</f>
        <v>11558</v>
      </c>
    </row>
    <row r="6" spans="1:4" x14ac:dyDescent="0.2">
      <c r="B6" t="s">
        <v>62</v>
      </c>
      <c r="C6" s="179">
        <f>IF('DOE25'!H665+'DOE25'!H670=0,0,ROUND('DOE25'!H672,0))</f>
        <v>11558</v>
      </c>
    </row>
    <row r="7" spans="1:4" x14ac:dyDescent="0.2">
      <c r="B7" t="s">
        <v>705</v>
      </c>
      <c r="C7" s="179">
        <f>IF('DOE25'!I665+'DOE25'!I670=0,0,ROUND('DOE25'!I672,0))</f>
        <v>12070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25885126</v>
      </c>
      <c r="D10" s="182">
        <f>ROUND((C10/$C$28)*100,1)</f>
        <v>45.2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9716289</v>
      </c>
      <c r="D11" s="182">
        <f>ROUND((C11/$C$28)*100,1)</f>
        <v>17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53590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1322314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3877005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1367178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1311864</v>
      </c>
      <c r="D17" s="182">
        <f t="shared" si="0"/>
        <v>2.2999999999999998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3954918</v>
      </c>
      <c r="D18" s="182">
        <f t="shared" si="0"/>
        <v>6.9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580176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5181101</v>
      </c>
      <c r="D20" s="182">
        <f t="shared" si="0"/>
        <v>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2555797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32332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1221410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241398.30000000005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57300498.299999997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57300498.299999997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2933549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44521940</v>
      </c>
      <c r="D35" s="182">
        <f t="shared" ref="D35:D40" si="1">ROUND((C35/$C$41)*100,1)</f>
        <v>73.599999999999994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739275.11999999732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11903997</v>
      </c>
      <c r="D37" s="182">
        <f t="shared" si="1"/>
        <v>19.7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1460488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1863908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60489608.119999997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F2" sqref="F2:I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Bedford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 t="s">
        <v>919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 t="s">
        <v>920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20</v>
      </c>
      <c r="B6" s="219">
        <v>1</v>
      </c>
      <c r="C6" s="286" t="s">
        <v>921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20</v>
      </c>
      <c r="B7" s="219">
        <v>2</v>
      </c>
      <c r="C7" s="286" t="s">
        <v>922</v>
      </c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20</v>
      </c>
      <c r="B8" s="219">
        <v>3</v>
      </c>
      <c r="C8" s="286" t="s">
        <v>923</v>
      </c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20</v>
      </c>
      <c r="B9" s="219">
        <v>4</v>
      </c>
      <c r="C9" s="286" t="s">
        <v>924</v>
      </c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20</v>
      </c>
      <c r="B10" s="219">
        <v>5</v>
      </c>
      <c r="C10" s="286" t="s">
        <v>925</v>
      </c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>
        <v>20</v>
      </c>
      <c r="B11" s="219">
        <v>6</v>
      </c>
      <c r="C11" s="286" t="s">
        <v>926</v>
      </c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>
        <v>20</v>
      </c>
      <c r="B12" s="219">
        <v>7</v>
      </c>
      <c r="C12" s="286" t="s">
        <v>927</v>
      </c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>
        <v>20</v>
      </c>
      <c r="B13" s="219">
        <v>8</v>
      </c>
      <c r="C13" s="286" t="s">
        <v>928</v>
      </c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>
        <v>20</v>
      </c>
      <c r="B14" s="219">
        <v>9</v>
      </c>
      <c r="C14" s="286" t="s">
        <v>929</v>
      </c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20</v>
      </c>
      <c r="B15" s="219">
        <v>10</v>
      </c>
      <c r="C15" s="286" t="s">
        <v>930</v>
      </c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>
        <v>20</v>
      </c>
      <c r="B16" s="219">
        <v>11</v>
      </c>
      <c r="C16" s="286" t="s">
        <v>931</v>
      </c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>
        <v>20</v>
      </c>
      <c r="B17" s="219">
        <v>12</v>
      </c>
      <c r="C17" s="286" t="s">
        <v>932</v>
      </c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>
        <v>20</v>
      </c>
      <c r="B18" s="219">
        <v>13</v>
      </c>
      <c r="C18" s="286" t="s">
        <v>933</v>
      </c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>
        <v>20</v>
      </c>
      <c r="B19" s="219">
        <v>14</v>
      </c>
      <c r="C19" s="286" t="s">
        <v>934</v>
      </c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 t="s">
        <v>935</v>
      </c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 t="s">
        <v>936</v>
      </c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 t="s">
        <v>937</v>
      </c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 t="s">
        <v>938</v>
      </c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 t="s">
        <v>939</v>
      </c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 t="s">
        <v>940</v>
      </c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2015-09-11T19:44:05Z</cp:lastPrinted>
  <dcterms:created xsi:type="dcterms:W3CDTF">1997-12-04T19:04:30Z</dcterms:created>
  <dcterms:modified xsi:type="dcterms:W3CDTF">2015-11-25T15:19:29Z</dcterms:modified>
</cp:coreProperties>
</file>