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60" windowWidth="25230" windowHeight="1233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7" i="1" l="1"/>
  <c r="J226" i="1" l="1"/>
  <c r="J208" i="1"/>
  <c r="C19" i="12" l="1"/>
  <c r="C21" i="12"/>
  <c r="C20" i="12"/>
  <c r="C28" i="12"/>
  <c r="C39" i="12" l="1"/>
  <c r="B39" i="12"/>
  <c r="B37" i="12"/>
  <c r="C29" i="12"/>
  <c r="B29" i="12"/>
  <c r="B28" i="12"/>
  <c r="B19" i="12"/>
  <c r="B21" i="12"/>
  <c r="B20" i="12"/>
  <c r="C12" i="12"/>
  <c r="C11" i="12"/>
  <c r="C10" i="12"/>
  <c r="B12" i="12"/>
  <c r="B11" i="12"/>
  <c r="B10" i="12"/>
  <c r="G526" i="1" l="1"/>
  <c r="F526" i="1"/>
  <c r="J521" i="1"/>
  <c r="I521" i="1"/>
  <c r="G528" i="1"/>
  <c r="F528" i="1"/>
  <c r="G527" i="1"/>
  <c r="F527" i="1"/>
  <c r="H528" i="1"/>
  <c r="H527" i="1"/>
  <c r="H526" i="1"/>
  <c r="J523" i="1"/>
  <c r="G523" i="1"/>
  <c r="F523" i="1"/>
  <c r="J522" i="1"/>
  <c r="G522" i="1"/>
  <c r="F522" i="1"/>
  <c r="G521" i="1"/>
  <c r="F521" i="1"/>
  <c r="G543" i="1"/>
  <c r="F543" i="1"/>
  <c r="I523" i="1"/>
  <c r="H523" i="1"/>
  <c r="G542" i="1"/>
  <c r="F542" i="1"/>
  <c r="I522" i="1"/>
  <c r="H522" i="1"/>
  <c r="H521" i="1"/>
  <c r="G541" i="1"/>
  <c r="F541" i="1"/>
  <c r="K533" i="1"/>
  <c r="I533" i="1"/>
  <c r="H533" i="1"/>
  <c r="G533" i="1"/>
  <c r="F533" i="1"/>
  <c r="K532" i="1"/>
  <c r="I532" i="1"/>
  <c r="H532" i="1"/>
  <c r="G532" i="1"/>
  <c r="F532" i="1"/>
  <c r="K531" i="1"/>
  <c r="I531" i="1"/>
  <c r="H531" i="1"/>
  <c r="G531" i="1"/>
  <c r="F531" i="1"/>
  <c r="I528" i="1"/>
  <c r="I527" i="1"/>
  <c r="I526" i="1"/>
  <c r="J591" i="1" l="1"/>
  <c r="I591" i="1"/>
  <c r="H591" i="1"/>
  <c r="I597" i="1"/>
  <c r="H597" i="1"/>
  <c r="J595" i="1"/>
  <c r="I595" i="1"/>
  <c r="H595" i="1"/>
  <c r="J594" i="1"/>
  <c r="I594" i="1"/>
  <c r="H594" i="1"/>
  <c r="J592" i="1"/>
  <c r="I592" i="1"/>
  <c r="H592" i="1"/>
  <c r="I243" i="1"/>
  <c r="I225" i="1"/>
  <c r="I207" i="1"/>
  <c r="H242" i="1"/>
  <c r="H224" i="1"/>
  <c r="H206" i="1"/>
  <c r="H236" i="1"/>
  <c r="H218" i="1"/>
  <c r="H200" i="1"/>
  <c r="H243" i="1" l="1"/>
  <c r="H225" i="1"/>
  <c r="H207" i="1"/>
  <c r="H244" i="1" l="1"/>
  <c r="H226" i="1"/>
  <c r="H208" i="1"/>
  <c r="H240" i="1"/>
  <c r="H222" i="1"/>
  <c r="H204" i="1"/>
  <c r="G245" i="1"/>
  <c r="G244" i="1"/>
  <c r="G243" i="1"/>
  <c r="G242" i="1"/>
  <c r="G241" i="1"/>
  <c r="G240" i="1"/>
  <c r="G239" i="1"/>
  <c r="G238" i="1"/>
  <c r="G236" i="1"/>
  <c r="G235" i="1"/>
  <c r="G234" i="1"/>
  <c r="G233" i="1"/>
  <c r="G227" i="1"/>
  <c r="G226" i="1"/>
  <c r="G225" i="1"/>
  <c r="G224" i="1"/>
  <c r="G223" i="1"/>
  <c r="G222" i="1"/>
  <c r="G221" i="1"/>
  <c r="G220" i="1"/>
  <c r="G218" i="1"/>
  <c r="G216" i="1"/>
  <c r="G215" i="1"/>
  <c r="G209" i="1"/>
  <c r="G208" i="1"/>
  <c r="G207" i="1"/>
  <c r="G206" i="1"/>
  <c r="G205" i="1"/>
  <c r="G204" i="1"/>
  <c r="G203" i="1"/>
  <c r="G202" i="1"/>
  <c r="G200" i="1"/>
  <c r="G198" i="1"/>
  <c r="G197" i="1"/>
  <c r="G502" i="1" l="1"/>
  <c r="F240" i="1" l="1"/>
  <c r="F235" i="1"/>
  <c r="F233" i="1"/>
  <c r="F222" i="1"/>
  <c r="F216" i="1"/>
  <c r="F215" i="1"/>
  <c r="F205" i="1"/>
  <c r="F204" i="1"/>
  <c r="F203" i="1"/>
  <c r="F202" i="1"/>
  <c r="F197" i="1"/>
  <c r="J233" i="1" l="1"/>
  <c r="I215" i="1"/>
  <c r="J198" i="1"/>
  <c r="I198" i="1"/>
  <c r="J197" i="1"/>
  <c r="H325" i="1"/>
  <c r="H320" i="1"/>
  <c r="G317" i="1"/>
  <c r="F317" i="1"/>
  <c r="K316" i="1"/>
  <c r="J316" i="1"/>
  <c r="I316" i="1"/>
  <c r="H316" i="1"/>
  <c r="I314" i="1"/>
  <c r="G314" i="1"/>
  <c r="F314" i="1"/>
  <c r="H301" i="1"/>
  <c r="H300" i="1"/>
  <c r="I297" i="1"/>
  <c r="G295" i="1"/>
  <c r="F295" i="1"/>
  <c r="G281" i="1"/>
  <c r="F281" i="1"/>
  <c r="K277" i="1"/>
  <c r="H282" i="1"/>
  <c r="I277" i="1" l="1"/>
  <c r="H277" i="1"/>
  <c r="G277" i="1"/>
  <c r="F277" i="1"/>
  <c r="K276" i="1"/>
  <c r="J276" i="1"/>
  <c r="I276" i="1"/>
  <c r="H276" i="1"/>
  <c r="G276" i="1"/>
  <c r="F276" i="1"/>
  <c r="J307" i="1" l="1"/>
  <c r="J288" i="1"/>
  <c r="J321" i="1"/>
  <c r="I321" i="1"/>
  <c r="H321" i="1"/>
  <c r="G321" i="1"/>
  <c r="F321" i="1"/>
  <c r="J302" i="1"/>
  <c r="I302" i="1"/>
  <c r="H302" i="1"/>
  <c r="G302" i="1"/>
  <c r="F302" i="1"/>
  <c r="J283" i="1"/>
  <c r="I283" i="1"/>
  <c r="H283" i="1"/>
  <c r="G283" i="1"/>
  <c r="F283" i="1"/>
  <c r="G319" i="1"/>
  <c r="F319" i="1"/>
  <c r="G300" i="1"/>
  <c r="F300" i="1"/>
  <c r="H319" i="1"/>
  <c r="H281" i="1"/>
  <c r="H298" i="1"/>
  <c r="G298" i="1"/>
  <c r="F298" i="1"/>
  <c r="H279" i="1"/>
  <c r="G279" i="1"/>
  <c r="F279" i="1"/>
  <c r="H315" i="1"/>
  <c r="H296" i="1"/>
  <c r="J315" i="1"/>
  <c r="G315" i="1"/>
  <c r="F315" i="1"/>
  <c r="J296" i="1"/>
  <c r="G296" i="1"/>
  <c r="F296" i="1"/>
  <c r="J277" i="1"/>
  <c r="H295" i="1"/>
  <c r="H559" i="1" l="1"/>
  <c r="H557" i="1"/>
  <c r="G557" i="1"/>
  <c r="F557" i="1"/>
  <c r="H582" i="1" l="1"/>
  <c r="H578" i="1"/>
  <c r="G582" i="1"/>
  <c r="F582" i="1"/>
  <c r="H581" i="1"/>
  <c r="H579" i="1"/>
  <c r="H159" i="1" l="1"/>
  <c r="H156" i="1"/>
  <c r="H155" i="1"/>
  <c r="H105" i="1"/>
  <c r="H102" i="1"/>
  <c r="H154" i="1"/>
  <c r="F163" i="1"/>
  <c r="F160" i="1"/>
  <c r="F127" i="1"/>
  <c r="F123" i="1"/>
  <c r="F126" i="1"/>
  <c r="F117" i="1"/>
  <c r="F110" i="1"/>
  <c r="F68" i="1"/>
  <c r="F70" i="1"/>
  <c r="F99" i="1"/>
  <c r="H368" i="1" l="1"/>
  <c r="G368" i="1"/>
  <c r="F368" i="1"/>
  <c r="H367" i="1"/>
  <c r="G367" i="1"/>
  <c r="F359" i="1"/>
  <c r="F358" i="1"/>
  <c r="K358" i="1"/>
  <c r="J360" i="1"/>
  <c r="J359" i="1"/>
  <c r="J358" i="1"/>
  <c r="I360" i="1"/>
  <c r="I359" i="1"/>
  <c r="I358" i="1"/>
  <c r="H360" i="1"/>
  <c r="H359" i="1"/>
  <c r="H358" i="1"/>
  <c r="G360" i="1"/>
  <c r="G359" i="1"/>
  <c r="G358" i="1"/>
  <c r="F360" i="1"/>
  <c r="F244" i="1" l="1"/>
  <c r="F243" i="1"/>
  <c r="K241" i="1"/>
  <c r="J241" i="1"/>
  <c r="I241" i="1"/>
  <c r="H241" i="1"/>
  <c r="F241" i="1"/>
  <c r="K240" i="1"/>
  <c r="I239" i="1"/>
  <c r="H239" i="1"/>
  <c r="F239" i="1"/>
  <c r="I238" i="1"/>
  <c r="H238" i="1"/>
  <c r="F238" i="1"/>
  <c r="K238" i="1"/>
  <c r="J238" i="1"/>
  <c r="K236" i="1"/>
  <c r="J236" i="1"/>
  <c r="I236" i="1"/>
  <c r="F236" i="1"/>
  <c r="J235" i="1" l="1"/>
  <c r="I235" i="1"/>
  <c r="H235" i="1"/>
  <c r="H234" i="1"/>
  <c r="I234" i="1"/>
  <c r="F234" i="1"/>
  <c r="K233" i="1"/>
  <c r="I233" i="1"/>
  <c r="H233" i="1"/>
  <c r="F226" i="1"/>
  <c r="F225" i="1"/>
  <c r="K223" i="1"/>
  <c r="J223" i="1"/>
  <c r="I223" i="1"/>
  <c r="H223" i="1"/>
  <c r="F223" i="1"/>
  <c r="K221" i="1"/>
  <c r="I221" i="1"/>
  <c r="H221" i="1"/>
  <c r="F221" i="1"/>
  <c r="K220" i="1"/>
  <c r="I220" i="1"/>
  <c r="F220" i="1"/>
  <c r="K218" i="1"/>
  <c r="I218" i="1"/>
  <c r="F218" i="1"/>
  <c r="J216" i="1"/>
  <c r="I216" i="1"/>
  <c r="H216" i="1"/>
  <c r="K215" i="1"/>
  <c r="J215" i="1"/>
  <c r="H215" i="1"/>
  <c r="H198" i="1"/>
  <c r="F208" i="1"/>
  <c r="F207" i="1"/>
  <c r="K205" i="1"/>
  <c r="J205" i="1"/>
  <c r="I205" i="1"/>
  <c r="H205" i="1"/>
  <c r="I203" i="1"/>
  <c r="H203" i="1"/>
  <c r="I202" i="1"/>
  <c r="H202" i="1"/>
  <c r="K202" i="1" l="1"/>
  <c r="K200" i="1" l="1"/>
  <c r="I200" i="1"/>
  <c r="F200" i="1"/>
  <c r="F198" i="1"/>
  <c r="I197" i="1"/>
  <c r="H197" i="1"/>
  <c r="F245" i="1"/>
  <c r="F227" i="1"/>
  <c r="F209" i="1"/>
  <c r="K244" i="1"/>
  <c r="J244" i="1"/>
  <c r="I244" i="1"/>
  <c r="K226" i="1"/>
  <c r="I226" i="1"/>
  <c r="K208" i="1"/>
  <c r="I208" i="1"/>
  <c r="J225" i="1"/>
  <c r="J207" i="1"/>
  <c r="K242" i="1"/>
  <c r="F242" i="1"/>
  <c r="K224" i="1"/>
  <c r="F224" i="1"/>
  <c r="K206" i="1"/>
  <c r="F206" i="1"/>
  <c r="I240" i="1"/>
  <c r="K222" i="1"/>
  <c r="I222" i="1"/>
  <c r="K204" i="1"/>
  <c r="I204" i="1"/>
  <c r="J240" i="1"/>
  <c r="J222" i="1"/>
  <c r="J204" i="1"/>
  <c r="H22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G662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E125" i="2" s="1"/>
  <c r="L314" i="1"/>
  <c r="L315" i="1"/>
  <c r="L316" i="1"/>
  <c r="L317" i="1"/>
  <c r="E112" i="2" s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C25" i="10"/>
  <c r="L268" i="1"/>
  <c r="L269" i="1"/>
  <c r="L349" i="1"/>
  <c r="L350" i="1"/>
  <c r="C26" i="10" s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C113" i="2"/>
  <c r="E113" i="2"/>
  <c r="C114" i="2"/>
  <c r="E114" i="2"/>
  <c r="D115" i="2"/>
  <c r="F115" i="2"/>
  <c r="G115" i="2"/>
  <c r="E118" i="2"/>
  <c r="E119" i="2"/>
  <c r="E120" i="2"/>
  <c r="E121" i="2"/>
  <c r="E122" i="2"/>
  <c r="E123" i="2"/>
  <c r="E124" i="2"/>
  <c r="C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G476" i="1" s="1"/>
  <c r="H623" i="1" s="1"/>
  <c r="H470" i="1"/>
  <c r="I470" i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52" i="1"/>
  <c r="H652" i="1"/>
  <c r="G653" i="1"/>
  <c r="H653" i="1"/>
  <c r="G654" i="1"/>
  <c r="H654" i="1"/>
  <c r="H655" i="1"/>
  <c r="F192" i="1"/>
  <c r="L256" i="1"/>
  <c r="G164" i="2"/>
  <c r="C18" i="2"/>
  <c r="L351" i="1"/>
  <c r="D62" i="2"/>
  <c r="D63" i="2" s="1"/>
  <c r="D18" i="13"/>
  <c r="C18" i="13" s="1"/>
  <c r="D18" i="2"/>
  <c r="D17" i="13"/>
  <c r="C17" i="13" s="1"/>
  <c r="C91" i="2"/>
  <c r="F78" i="2"/>
  <c r="F81" i="2" s="1"/>
  <c r="D31" i="2"/>
  <c r="G157" i="2"/>
  <c r="F18" i="2"/>
  <c r="G156" i="2"/>
  <c r="E103" i="2"/>
  <c r="E31" i="2"/>
  <c r="G62" i="2"/>
  <c r="D19" i="13"/>
  <c r="C19" i="13" s="1"/>
  <c r="J617" i="1"/>
  <c r="E78" i="2"/>
  <c r="E81" i="2" s="1"/>
  <c r="L427" i="1"/>
  <c r="J641" i="1"/>
  <c r="J639" i="1"/>
  <c r="K605" i="1"/>
  <c r="G648" i="1" s="1"/>
  <c r="J571" i="1"/>
  <c r="K571" i="1"/>
  <c r="L433" i="1"/>
  <c r="L419" i="1"/>
  <c r="D81" i="2"/>
  <c r="I169" i="1"/>
  <c r="J644" i="1"/>
  <c r="J643" i="1"/>
  <c r="J476" i="1"/>
  <c r="H626" i="1" s="1"/>
  <c r="I476" i="1"/>
  <c r="H625" i="1" s="1"/>
  <c r="J625" i="1" s="1"/>
  <c r="J140" i="1"/>
  <c r="F571" i="1"/>
  <c r="I552" i="1"/>
  <c r="G22" i="2"/>
  <c r="C29" i="10"/>
  <c r="H140" i="1"/>
  <c r="L401" i="1"/>
  <c r="C139" i="2" s="1"/>
  <c r="L393" i="1"/>
  <c r="F22" i="13"/>
  <c r="H25" i="13"/>
  <c r="C25" i="13" s="1"/>
  <c r="J640" i="1"/>
  <c r="H571" i="1"/>
  <c r="G192" i="1"/>
  <c r="H192" i="1"/>
  <c r="J655" i="1"/>
  <c r="J645" i="1"/>
  <c r="L570" i="1"/>
  <c r="I571" i="1"/>
  <c r="J636" i="1"/>
  <c r="G36" i="2"/>
  <c r="C22" i="13"/>
  <c r="C138" i="2"/>
  <c r="H33" i="13"/>
  <c r="C35" i="10" l="1"/>
  <c r="A40" i="12"/>
  <c r="A31" i="12"/>
  <c r="A13" i="12"/>
  <c r="H476" i="1"/>
  <c r="H624" i="1" s="1"/>
  <c r="J552" i="1"/>
  <c r="K550" i="1"/>
  <c r="G545" i="1"/>
  <c r="H552" i="1"/>
  <c r="L534" i="1"/>
  <c r="I545" i="1"/>
  <c r="H545" i="1"/>
  <c r="G552" i="1"/>
  <c r="K551" i="1"/>
  <c r="L529" i="1"/>
  <c r="K549" i="1"/>
  <c r="F552" i="1"/>
  <c r="L524" i="1"/>
  <c r="G624" i="1"/>
  <c r="J623" i="1"/>
  <c r="K598" i="1"/>
  <c r="G647" i="1" s="1"/>
  <c r="C121" i="2"/>
  <c r="E16" i="13"/>
  <c r="C16" i="13" s="1"/>
  <c r="G161" i="2"/>
  <c r="H662" i="1"/>
  <c r="I662" i="1" s="1"/>
  <c r="G338" i="1"/>
  <c r="G352" i="1" s="1"/>
  <c r="K338" i="1"/>
  <c r="K352" i="1" s="1"/>
  <c r="J338" i="1"/>
  <c r="J352" i="1" s="1"/>
  <c r="L328" i="1"/>
  <c r="E128" i="2"/>
  <c r="L309" i="1"/>
  <c r="C13" i="10"/>
  <c r="F338" i="1"/>
  <c r="F352" i="1" s="1"/>
  <c r="H338" i="1"/>
  <c r="H352" i="1" s="1"/>
  <c r="E109" i="2"/>
  <c r="E115" i="2" s="1"/>
  <c r="L290" i="1"/>
  <c r="L560" i="1"/>
  <c r="C81" i="2"/>
  <c r="C62" i="2"/>
  <c r="C63" i="2" s="1"/>
  <c r="F112" i="1"/>
  <c r="J634" i="1"/>
  <c r="L362" i="1"/>
  <c r="H661" i="1"/>
  <c r="F661" i="1"/>
  <c r="D29" i="13"/>
  <c r="C29" i="13" s="1"/>
  <c r="D127" i="2"/>
  <c r="D128" i="2" s="1"/>
  <c r="D145" i="2" s="1"/>
  <c r="G661" i="1"/>
  <c r="C12" i="10"/>
  <c r="C18" i="10"/>
  <c r="C119" i="2"/>
  <c r="C110" i="2"/>
  <c r="D12" i="13"/>
  <c r="C12" i="13" s="1"/>
  <c r="D7" i="13"/>
  <c r="C7" i="13" s="1"/>
  <c r="C11" i="10"/>
  <c r="G650" i="1"/>
  <c r="J650" i="1" s="1"/>
  <c r="K257" i="1"/>
  <c r="K271" i="1" s="1"/>
  <c r="G651" i="1"/>
  <c r="J651" i="1" s="1"/>
  <c r="D15" i="13"/>
  <c r="C15" i="13" s="1"/>
  <c r="C124" i="2"/>
  <c r="G649" i="1"/>
  <c r="J649" i="1" s="1"/>
  <c r="C21" i="10"/>
  <c r="H647" i="1"/>
  <c r="C123" i="2"/>
  <c r="C20" i="10"/>
  <c r="D14" i="13"/>
  <c r="C14" i="13" s="1"/>
  <c r="E13" i="13"/>
  <c r="C13" i="13" s="1"/>
  <c r="C122" i="2"/>
  <c r="C19" i="10"/>
  <c r="J257" i="1"/>
  <c r="J271" i="1" s="1"/>
  <c r="C17" i="10"/>
  <c r="C120" i="2"/>
  <c r="E8" i="13"/>
  <c r="C8" i="13" s="1"/>
  <c r="C16" i="10"/>
  <c r="G257" i="1"/>
  <c r="G271" i="1" s="1"/>
  <c r="H257" i="1"/>
  <c r="H271" i="1" s="1"/>
  <c r="C15" i="10"/>
  <c r="C118" i="2"/>
  <c r="D6" i="13"/>
  <c r="C6" i="13" s="1"/>
  <c r="L211" i="1"/>
  <c r="L247" i="1"/>
  <c r="C10" i="10"/>
  <c r="I257" i="1"/>
  <c r="I271" i="1" s="1"/>
  <c r="F257" i="1"/>
  <c r="F271" i="1" s="1"/>
  <c r="C109" i="2"/>
  <c r="D5" i="13"/>
  <c r="C5" i="13" s="1"/>
  <c r="L2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I663" i="1"/>
  <c r="C27" i="10"/>
  <c r="G635" i="1"/>
  <c r="J635" i="1" s="1"/>
  <c r="C36" i="10" l="1"/>
  <c r="J624" i="1"/>
  <c r="K552" i="1"/>
  <c r="L545" i="1"/>
  <c r="J647" i="1"/>
  <c r="H660" i="1"/>
  <c r="H664" i="1" s="1"/>
  <c r="H672" i="1" s="1"/>
  <c r="C6" i="10" s="1"/>
  <c r="E145" i="2"/>
  <c r="D31" i="13"/>
  <c r="C31" i="13" s="1"/>
  <c r="L338" i="1"/>
  <c r="L352" i="1" s="1"/>
  <c r="G633" i="1" s="1"/>
  <c r="J633" i="1" s="1"/>
  <c r="F660" i="1"/>
  <c r="F664" i="1" s="1"/>
  <c r="F667" i="1" s="1"/>
  <c r="C104" i="2"/>
  <c r="F193" i="1"/>
  <c r="G627" i="1" s="1"/>
  <c r="J627" i="1" s="1"/>
  <c r="I661" i="1"/>
  <c r="C115" i="2"/>
  <c r="H648" i="1"/>
  <c r="J648" i="1" s="1"/>
  <c r="C128" i="2"/>
  <c r="E33" i="13"/>
  <c r="D35" i="13" s="1"/>
  <c r="L257" i="1"/>
  <c r="L271" i="1" s="1"/>
  <c r="G632" i="1" s="1"/>
  <c r="J632" i="1" s="1"/>
  <c r="C28" i="10"/>
  <c r="D23" i="10" s="1"/>
  <c r="G660" i="1"/>
  <c r="G664" i="1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F672" i="1" l="1"/>
  <c r="C4" i="10" s="1"/>
  <c r="H667" i="1"/>
  <c r="C145" i="2"/>
  <c r="D13" i="10"/>
  <c r="D21" i="10"/>
  <c r="D15" i="10"/>
  <c r="D19" i="10"/>
  <c r="D11" i="10"/>
  <c r="D22" i="10"/>
  <c r="D20" i="10"/>
  <c r="D25" i="10"/>
  <c r="D27" i="10"/>
  <c r="D18" i="10"/>
  <c r="D17" i="10"/>
  <c r="D12" i="10"/>
  <c r="D24" i="10"/>
  <c r="D10" i="10"/>
  <c r="D26" i="10"/>
  <c r="C30" i="10"/>
  <c r="D16" i="10"/>
  <c r="G672" i="1"/>
  <c r="C5" i="10" s="1"/>
  <c r="G667" i="1"/>
  <c r="I660" i="1"/>
  <c r="I664" i="1" s="1"/>
  <c r="I672" i="1" s="1"/>
  <c r="C7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<sst xmlns="http://schemas.openxmlformats.org/spreadsheetml/2006/main" count="3961" uniqueCount="919">
  <si>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</si>
  <si>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</si>
  <si>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</si>
  <si>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</si>
  <si>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</si>
  <si>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</si>
  <si>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</si>
  <si>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</si>
  <si>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</si>
  <si>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</si>
  <si>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</si>
  <si>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</si>
  <si>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</si>
  <si>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</si>
  <si>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</si>
  <si>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</si>
  <si>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</si>
  <si>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</si>
  <si>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</si>
  <si>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</si>
  <si>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</si>
  <si>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</si>
  <si>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</si>
  <si>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</si>
  <si>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</si>
  <si>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</si>
  <si>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</si>
  <si>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</si>
  <si>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</si>
  <si>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</si>
  <si>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</si>
  <si>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</si>
  <si>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</si>
  <si>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</si>
  <si>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</si>
  <si>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</si>
  <si>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</si>
  <si>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</si>
  <si>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</si>
  <si>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</si>
  <si>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</si>
  <si>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</si>
  <si>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</si>
  <si>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</si>
  <si>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</si>
  <si>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</si>
  <si>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</si>
  <si>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</si>
  <si>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</si>
  <si>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</si>
  <si>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</si>
  <si>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</si>
  <si>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</si>
  <si>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</si>
  <si>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</si>
  <si>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</si>
  <si>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</si>
  <si>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</si>
  <si>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</si>
  <si>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</si>
  <si>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</si>
  <si>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</si>
  <si>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</si>
  <si>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</si>
  <si>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</si>
  <si>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</si>
  <si>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</si>
  <si>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</si>
  <si>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</si>
  <si>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</si>
  <si>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</si>
  <si>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</si>
  <si>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</si>
  <si>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</si>
  <si>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</si>
  <si>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</si>
  <si>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</si>
  <si>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</si>
  <si>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</si>
  <si>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</si>
  <si>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</si>
  <si>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</si>
  <si>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</si>
  <si>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</si>
  <si>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</si>
  <si>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</si>
  <si>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</si>
  <si>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</si>
  <si>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</si>
  <si>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</si>
  <si>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</si>
  <si>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</si>
  <si>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</si>
  <si>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</si>
  <si>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</si>
  <si>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</si>
  <si>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</si>
  <si>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</si>
  <si>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</si>
  <si>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</si>
  <si>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</si>
  <si>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</si>
  <si>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</si>
  <si>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</si>
  <si>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</si>
  <si>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</si>
  <si>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</si>
  <si>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</si>
  <si>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</si>
  <si>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</si>
  <si>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</si>
  <si>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</si>
  <si>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</si>
  <si>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</si>
  <si>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</si>
  <si>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</si>
  <si>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</si>
  <si>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</si>
  <si>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</si>
  <si>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</si>
  <si>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</si>
  <si>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</si>
  <si>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</si>
  <si>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</si>
  <si>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</si>
  <si>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</si>
  <si>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</si>
  <si>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</si>
  <si>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</si>
  <si>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</si>
  <si>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</si>
  <si>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</si>
  <si>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</si>
  <si>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</si>
  <si>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</si>
  <si>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</si>
  <si>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</si>
  <si>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</si>
  <si>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</si>
  <si>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</si>
  <si>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</si>
  <si>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</si>
  <si>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</si>
  <si>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</si>
  <si>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</si>
  <si>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</si>
  <si>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</si>
  <si>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</si>
  <si>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</si>
  <si>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</si>
  <si>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</si>
  <si>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</si>
  <si>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</si>
  <si>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</si>
  <si>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</si>
  <si>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</si>
  <si>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</si>
  <si>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</si>
  <si>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</si>
  <si>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</si>
  <si>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</si>
  <si>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</si>
  <si>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</si>
  <si>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</si>
  <si>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</si>
  <si>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</si>
  <si>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</si>
  <si>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</si>
  <si>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</si>
  <si>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</si>
  <si>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</si>
  <si>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</si>
  <si>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</si>
  <si>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</si>
  <si>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</si>
  <si>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</si>
  <si>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</si>
  <si>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</si>
  <si>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</si>
  <si>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</si>
  <si>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</si>
  <si>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</si>
  <si>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</si>
  <si>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</si>
  <si>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</si>
  <si>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</si>
  <si>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</si>
  <si>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</si>
  <si>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</si>
  <si>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</si>
  <si>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</si>
  <si>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</si>
  <si>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</si>
  <si>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</si>
  <si>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</si>
  <si>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</si>
  <si>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</si>
  <si>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</si>
  <si>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</si>
  <si>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</si>
  <si>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</si>
  <si>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</si>
  <si>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</si>
  <si>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</si>
  <si>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</si>
  <si>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</si>
  <si>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</si>
  <si>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</si>
  <si>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</si>
  <si>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</si>
  <si>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</si>
  <si>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</si>
  <si>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</si>
  <si>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</si>
  <si>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</si>
  <si>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</si>
  <si>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</si>
  <si>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</si>
  <si>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</si>
  <si>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</si>
  <si>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</si>
  <si>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</si>
  <si>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</si>
  <si>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</si>
  <si>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</si>
  <si>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</si>
  <si>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</si>
  <si>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</si>
  <si>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</si>
  <si>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</si>
  <si>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</si>
  <si>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</si>
  <si>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</si>
  <si>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</si>
  <si>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</si>
  <si>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</si>
  <si>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</si>
  <si>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</si>
  <si>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</si>
  <si>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</si>
  <si>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</si>
  <si>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</si>
  <si>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</si>
  <si>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</si>
  <si>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</si>
  <si>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</si>
  <si>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</si>
  <si>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</si>
  <si>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</si>
  <si>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</si>
  <si>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</si>
  <si>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</si>
  <si>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</si>
  <si>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</si>
  <si>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</si>
  <si>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</si>
  <si>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</si>
  <si>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</si>
  <si>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</si>
  <si>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</si>
  <si>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</si>
  <si>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</si>
  <si>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</si>
  <si>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</si>
  <si>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</si>
  <si>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</si>
  <si>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</si>
  <si>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</si>
  <si>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</si>
  <si>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</si>
  <si>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</si>
  <si>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</si>
  <si>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</si>
  <si>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</si>
  <si>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</si>
  <si>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</si>
  <si>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</si>
  <si>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</si>
  <si>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</si>
  <si>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</si>
  <si>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</si>
  <si>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</si>
  <si>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</si>
  <si>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</si>
  <si>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</si>
  <si>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</si>
  <si>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</si>
  <si>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</si>
  <si>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</si>
  <si>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</si>
  <si>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</si>
  <si>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</si>
  <si>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</si>
  <si>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</si>
  <si>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</si>
  <si>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</si>
  <si>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</si>
  <si>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</si>
  <si>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</si>
  <si>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</si>
  <si>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</si>
  <si>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</si>
  <si>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</si>
  <si>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</si>
  <si>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</si>
  <si>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</si>
  <si>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</si>
  <si>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</si>
  <si>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</si>
  <si>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</si>
  <si>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</si>
  <si>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</si>
  <si>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</si>
  <si>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</si>
  <si>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</si>
  <si>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</si>
  <si>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</si>
  <si>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</si>
  <si>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</si>
  <si>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</si>
  <si>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</si>
  <si>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</si>
  <si>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</si>
  <si>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</si>
  <si>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</si>
  <si>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</si>
  <si>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</si>
  <si>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</si>
  <si>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</si>
  <si>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</si>
  <si>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</si>
  <si>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</si>
  <si>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</si>
  <si>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</si>
  <si>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</si>
  <si>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</si>
  <si>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</si>
  <si>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</si>
  <si>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</si>
  <si>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</si>
  <si>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</si>
  <si>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</si>
  <si>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</si>
  <si>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</si>
  <si>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</si>
  <si>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</si>
  <si>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</si>
  <si>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</si>
  <si>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</si>
  <si>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</si>
  <si>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</si>
  <si>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</si>
  <si>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</si>
  <si>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</si>
  <si>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</si>
  <si>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</si>
  <si>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</si>
  <si>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</si>
  <si>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</si>
  <si>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</si>
  <si>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</si>
  <si>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</si>
  <si>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</si>
  <si>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</si>
  <si>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</si>
  <si>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</si>
  <si>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</si>
  <si>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</si>
  <si>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</si>
  <si>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</si>
  <si>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</si>
  <si>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</si>
  <si>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</si>
  <si>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</si>
  <si>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</si>
  <si>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</si>
  <si>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</si>
  <si>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</si>
  <si>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</si>
  <si>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</si>
  <si>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</si>
  <si>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</si>
  <si>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</si>
  <si>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</si>
  <si>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</si>
  <si>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</si>
  <si>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</si>
  <si>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</si>
  <si>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</si>
  <si>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</si>
  <si>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</si>
  <si>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</si>
  <si>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</si>
  <si>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</si>
  <si>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</si>
  <si>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</si>
  <si>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</si>
  <si>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</si>
  <si>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</si>
  <si>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</si>
  <si>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</si>
  <si>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</si>
  <si>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</si>
  <si>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</si>
  <si>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</si>
  <si>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</si>
  <si>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</si>
  <si>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</si>
  <si>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</si>
  <si>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</si>
  <si>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</si>
  <si>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</si>
  <si>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</si>
  <si>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</si>
  <si>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</si>
  <si>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</si>
  <si>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</si>
  <si>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</si>
  <si>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</si>
  <si>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</si>
  <si>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</si>
  <si>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</si>
  <si>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</si>
  <si>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</si>
  <si>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</si>
  <si>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</si>
  <si>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</si>
  <si>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</si>
  <si>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</si>
  <si>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</si>
  <si>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</si>
  <si>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</si>
  <si>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</si>
  <si>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</si>
  <si>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</si>
  <si>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</si>
  <si>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</si>
  <si>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</si>
  <si>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</si>
  <si>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</si>
  <si>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</si>
  <si>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</si>
  <si>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</si>
  <si>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</si>
  <si>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</si>
  <si>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</si>
  <si>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</si>
  <si>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</si>
  <si>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</si>
  <si>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</si>
  <si>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</si>
  <si>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</si>
  <si>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</si>
  <si>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</si>
  <si>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</si>
  <si>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</si>
  <si>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</si>
  <si>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</si>
  <si>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</si>
  <si>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</si>
  <si>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</si>
  <si>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</si>
  <si>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</si>
  <si>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</si>
  <si>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</si>
  <si>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</si>
  <si>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</si>
  <si>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</si>
  <si>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</si>
  <si>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</si>
  <si>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</si>
  <si>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</si>
  <si>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</si>
  <si>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</si>
  <si>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</si>
  <si>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</si>
  <si>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</si>
  <si>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</si>
  <si>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</si>
  <si>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</si>
  <si>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</si>
  <si>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</si>
  <si>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</si>
  <si>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</si>
  <si>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</si>
  <si>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</si>
  <si>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</si>
  <si>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</si>
  <si>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</si>
  <si>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</si>
  <si>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</si>
  <si>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</si>
  <si>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</si>
  <si>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</si>
  <si>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</si>
  <si>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</si>
  <si>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</si>
  <si>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</si>
  <si>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</si>
  <si>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</si>
  <si>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</si>
  <si>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</si>
  <si>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</si>
  <si>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</si>
  <si>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</si>
  <si>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</si>
  <si>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</si>
  <si>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</si>
  <si>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</si>
  <si>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</si>
  <si>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</si>
  <si>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</si>
  <si>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</si>
  <si>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</si>
  <si>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</si>
  <si>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</si>
  <si>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</si>
  <si>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</si>
  <si>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</si>
  <si>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</si>
  <si>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</si>
  <si>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</si>
  <si>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</si>
  <si>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</si>
  <si>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</si>
  <si>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</si>
  <si>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</si>
  <si>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</si>
  <si>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</si>
  <si>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</si>
  <si>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</si>
  <si>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</si>
  <si>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</si>
  <si>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</si>
  <si>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</si>
  <si>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</si>
  <si>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</si>
  <si>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</si>
  <si>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</si>
  <si>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</si>
  <si>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</si>
  <si>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</si>
  <si>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</si>
  <si>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</si>
  <si>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</si>
  <si>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</si>
  <si>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</si>
  <si>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</si>
  <si>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</si>
  <si>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</si>
  <si>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</si>
  <si>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</si>
  <si>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</si>
  <si>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</si>
  <si>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</si>
  <si>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</si>
  <si>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</si>
  <si>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</si>
  <si>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</si>
  <si>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</si>
  <si>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</si>
  <si>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</si>
  <si>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</si>
  <si>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</si>
  <si>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</si>
  <si>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</si>
  <si>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</si>
  <si>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</si>
  <si>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</si>
  <si>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</si>
  <si>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</si>
  <si>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</si>
  <si>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</si>
  <si>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</si>
  <si>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</si>
  <si>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</si>
  <si>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</si>
  <si>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</si>
  <si>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</si>
  <si>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</si>
  <si>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</si>
  <si>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</si>
  <si>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</si>
  <si>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</si>
  <si>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</si>
  <si>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</si>
  <si>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</si>
  <si>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</si>
  <si>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</si>
  <si>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</si>
  <si>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</si>
  <si>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</si>
  <si>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</si>
  <si>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</si>
  <si>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</si>
  <si>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</si>
  <si>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</si>
  <si>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</si>
  <si>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</si>
  <si>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</si>
  <si>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</si>
  <si>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</si>
  <si>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</si>
  <si>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</si>
  <si>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</si>
  <si>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</si>
  <si>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</si>
  <si>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</si>
  <si>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</si>
  <si>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</si>
  <si>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</si>
  <si>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</si>
  <si>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</si>
  <si>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</si>
  <si>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</si>
  <si>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</si>
  <si>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</si>
  <si>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</si>
  <si>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</si>
  <si>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</si>
  <si>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</si>
  <si>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</si>
  <si>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</si>
  <si>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</si>
  <si>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</si>
  <si>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</si>
  <si>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</si>
  <si>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</si>
  <si>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</si>
  <si>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</si>
  <si>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</si>
  <si>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</si>
  <si>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</si>
  <si>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</si>
  <si>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</si>
  <si>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</si>
  <si>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</si>
  <si>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</si>
  <si>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</si>
  <si>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</si>
  <si>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</si>
  <si>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</si>
  <si>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</si>
  <si>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</si>
  <si>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</si>
  <si>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</si>
  <si>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</si>
  <si>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</si>
  <si>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</si>
  <si>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</si>
  <si>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</si>
  <si>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</si>
  <si>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</si>
  <si>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</si>
  <si>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</si>
  <si>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</si>
  <si>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</si>
  <si>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</si>
  <si>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</si>
  <si>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</si>
  <si>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</si>
  <si>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</si>
  <si>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</si>
  <si>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</si>
  <si>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</si>
  <si>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</si>
  <si>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</si>
  <si>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</si>
  <si>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</si>
  <si>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</si>
  <si>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</si>
  <si>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</si>
  <si>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</si>
  <si>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</si>
  <si>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</si>
  <si>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</si>
  <si>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</si>
  <si>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</si>
  <si>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</si>
  <si>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</si>
  <si>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</si>
  <si>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</si>
  <si>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</si>
  <si>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</si>
  <si>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</si>
  <si>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</si>
  <si>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</si>
  <si>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</si>
  <si>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</si>
  <si>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</si>
  <si>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</si>
  <si>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</si>
  <si>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</si>
  <si>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</si>
  <si>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</si>
  <si>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</si>
  <si>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</si>
  <si>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</si>
  <si>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</si>
  <si>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</si>
  <si>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</si>
  <si>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</si>
  <si>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</si>
  <si>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</si>
  <si>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</si>
  <si>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</si>
  <si>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</si>
  <si>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</si>
  <si>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</si>
  <si>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</si>
  <si>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</si>
  <si>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</si>
  <si>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</si>
  <si>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</si>
  <si>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</si>
  <si>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</si>
  <si>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</si>
  <si>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</si>
  <si>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</si>
  <si>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</si>
  <si>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</si>
  <si>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</si>
  <si>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</si>
  <si>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</si>
  <si>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</si>
  <si>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</si>
  <si>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</si>
  <si>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</si>
  <si>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</si>
  <si>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</si>
  <si>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</si>
  <si>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</si>
  <si>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</si>
  <si>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</si>
  <si>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</si>
  <si>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</si>
  <si>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</si>
  <si>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</si>
  <si>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</si>
  <si>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</si>
  <si>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</si>
  <si>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</si>
  <si>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</si>
  <si>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</si>
  <si>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</si>
  <si>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</si>
  <si>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</si>
  <si>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</si>
  <si>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</si>
  <si>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</si>
  <si>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</si>
  <si>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</si>
  <si>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</si>
  <si>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</si>
  <si>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</si>
  <si>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</si>
  <si>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</si>
  <si>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</si>
  <si>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</si>
  <si>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</si>
  <si>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</si>
  <si>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</si>
  <si>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</si>
  <si>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</si>
  <si>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</si>
  <si>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</si>
  <si>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</si>
  <si>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</si>
  <si>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</si>
  <si>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</si>
  <si>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</si>
  <si>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</si>
  <si>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</si>
  <si>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</si>
  <si>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</si>
  <si>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</si>
  <si>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</si>
  <si>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</si>
  <si>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</si>
  <si>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</si>
  <si>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</si>
  <si>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</si>
  <si>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</si>
  <si>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</si>
  <si>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</si>
  <si>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</si>
  <si>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</si>
  <si>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</si>
  <si>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</si>
  <si>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</si>
  <si>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</si>
  <si>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</si>
  <si>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</si>
  <si>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</si>
  <si>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</si>
  <si>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</si>
  <si>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</si>
  <si>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</si>
  <si>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</si>
  <si>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</si>
  <si>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</si>
  <si>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</si>
  <si>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</si>
  <si>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</si>
  <si>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</si>
  <si>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</si>
  <si>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</si>
  <si>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</si>
  <si>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</si>
  <si>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</si>
  <si>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</si>
  <si>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</si>
  <si>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</si>
  <si>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</si>
  <si>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</si>
  <si>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</si>
  <si>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</si>
  <si>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</si>
  <si>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</si>
  <si>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</si>
  <si>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</si>
  <si>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</si>
  <si>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</si>
  <si>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</si>
  <si>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</si>
  <si>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</si>
  <si>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</si>
  <si>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</si>
  <si>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</si>
  <si>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</si>
  <si>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</si>
  <si>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</si>
  <si>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</si>
  <si>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</si>
  <si>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</si>
  <si>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</si>
  <si>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</si>
  <si>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</si>
  <si>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</si>
  <si>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</si>
  <si>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</si>
  <si>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</si>
  <si>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</si>
  <si>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</si>
  <si>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</si>
  <si>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</si>
  <si>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</si>
  <si>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</si>
  <si>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</si>
  <si>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</si>
  <si>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</si>
  <si>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</si>
  <si>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</si>
  <si>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</si>
  <si>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</si>
  <si>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</si>
  <si>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</si>
  <si>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</si>
  <si>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</si>
  <si>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</si>
  <si>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</si>
  <si>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</si>
  <si>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</si>
  <si>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</si>
  <si>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</si>
  <si>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</si>
  <si>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</si>
  <si>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</si>
  <si>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</si>
  <si>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</si>
  <si>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</si>
  <si>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</si>
  <si>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</si>
  <si>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</si>
  <si>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</si>
  <si>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</si>
  <si>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</si>
  <si>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</si>
  <si>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</si>
  <si>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</si>
  <si>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</si>
  <si>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</si>
  <si>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</si>
  <si>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</si>
  <si>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</si>
  <si>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</si>
  <si>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</si>
  <si>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</si>
  <si>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</si>
  <si>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</si>
  <si>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</si>
  <si>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</si>
  <si>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</si>
  <si>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</si>
  <si>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</si>
  <si>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</si>
  <si>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</si>
  <si>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</si>
  <si>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</si>
  <si>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</si>
  <si>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</si>
  <si>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</si>
  <si>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</si>
  <si>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</si>
  <si>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</si>
  <si>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</si>
  <si>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</si>
  <si>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</si>
  <si>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</si>
  <si>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</si>
  <si>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</si>
  <si>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07/06</t>
  </si>
  <si>
    <t>07/16</t>
  </si>
  <si>
    <t>01/10</t>
  </si>
  <si>
    <t>08/25</t>
  </si>
  <si>
    <t>April 2014 error in claim for school snacks caused a correction of $324.80.  I had this figure on the FY15 receivables letter.</t>
  </si>
  <si>
    <t>The food services program did not receive this but it was included in the FY14 DOE 25.</t>
  </si>
  <si>
    <t>Unidentified varience of $82.28 in grants.</t>
  </si>
  <si>
    <t>Berlin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</si>
</sst>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topLeftCell="A634" zoomScaleNormal="100" workbookViewId="0">
      <selection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918</v>
      </c>
      <c r="B2" s="21">
        <v>51</v>
      </c>
      <c r="C2" s="21">
        <v>51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>
        <v>2650.73</v>
      </c>
      <c r="H9" s="18">
        <v>19156.59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2650.73</v>
      </c>
      <c r="H19" s="41">
        <f>SUM(H9:H18)</f>
        <v>19156.59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2650.73</v>
      </c>
      <c r="H48" s="18">
        <v>19156.59</v>
      </c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2650.73</v>
      </c>
      <c r="H51" s="41">
        <f>SUM(H35:H50)</f>
        <v>19156.59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0</v>
      </c>
      <c r="G52" s="41">
        <f>G51+G32</f>
        <v>2650.73</v>
      </c>
      <c r="H52" s="41">
        <f>H51+H32</f>
        <v>19156.59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5216846.86-703225</f>
        <v>4513621.8600000003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4513621.8600000003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1285373.82</f>
        <v>1285373.82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f>79686.93</f>
        <v>79686.929999999993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1365060.75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213428.17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f>1543.2</f>
        <v>1543.2</v>
      </c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42300.01</f>
        <v>42300.01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>
        <f>2000</f>
        <v>2000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67344.54</f>
        <v>67344.539999999994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68887.739999999991</v>
      </c>
      <c r="G111" s="41">
        <f>SUM(G96:G110)</f>
        <v>213428.17</v>
      </c>
      <c r="H111" s="41">
        <f>SUM(H96:H110)</f>
        <v>44300.01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5947570.3500000006</v>
      </c>
      <c r="G112" s="41">
        <f>G60+G111</f>
        <v>213428.17</v>
      </c>
      <c r="H112" s="41">
        <f>H60+H79+H94+H111</f>
        <v>44300.01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f>10334588.33</f>
        <v>10334588.33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703225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11037813.33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f>171989.48</f>
        <v>171989.48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f>42369.24</f>
        <v>42369.24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f>70255.18</f>
        <v>70255.179999999993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9320.8799999999992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284613.90000000002</v>
      </c>
      <c r="G136" s="41">
        <f>SUM(G123:G135)</f>
        <v>9320.8799999999992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11322427.23</v>
      </c>
      <c r="G140" s="41">
        <f>G121+SUM(G136:G137)</f>
        <v>9320.8799999999992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575747.8</f>
        <v>575747.80000000005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365397.96</f>
        <v>365397.96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f>59536.53</f>
        <v>59536.53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401402.05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331112.85</f>
        <v>331112.84999999998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f>247662.4</f>
        <v>247662.4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40127.599999999999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247662.4</v>
      </c>
      <c r="G162" s="41">
        <f>SUM(G150:G161)</f>
        <v>401402.05</v>
      </c>
      <c r="H162" s="41">
        <f>SUM(H150:H161)</f>
        <v>1371922.7400000002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f>28391.5</f>
        <v>28391.5</v>
      </c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276053.90000000002</v>
      </c>
      <c r="G169" s="41">
        <f>G147+G162+SUM(G163:G168)</f>
        <v>401402.05</v>
      </c>
      <c r="H169" s="41">
        <f>H147+H162+SUM(H163:H168)</f>
        <v>1371922.7400000002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17546051.48</v>
      </c>
      <c r="G193" s="47">
        <f>G112+G140+G169+G192</f>
        <v>624151.1</v>
      </c>
      <c r="H193" s="47">
        <f>H112+H140+H169+H192</f>
        <v>1416222.7500000002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48369.69+1808612.55+10000+780</f>
        <v>1867762.24</v>
      </c>
      <c r="G197" s="18">
        <f>34867.87+674113.14+7027.41</f>
        <v>716008.42</v>
      </c>
      <c r="H197" s="18">
        <f>28405.63+416</f>
        <v>28821.63</v>
      </c>
      <c r="I197" s="18">
        <f>1949.6+48664.41</f>
        <v>50614.01</v>
      </c>
      <c r="J197" s="18">
        <f>92977.14+24597.84+1374+1549</f>
        <v>120497.98</v>
      </c>
      <c r="K197" s="18"/>
      <c r="L197" s="19">
        <f>SUM(F197:K197)</f>
        <v>2783704.28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38465.42+16321.65+691334.59+15812.5</f>
        <v>761934.15999999992</v>
      </c>
      <c r="G198" s="18">
        <f>1248.76+6775.49+172421.24+1209.67+2866.78</f>
        <v>184521.94</v>
      </c>
      <c r="H198" s="18">
        <f>33800.01+160411.58+76779.69</f>
        <v>270991.28000000003</v>
      </c>
      <c r="I198" s="18">
        <f>271.61+1136.49+751.82+1752.63</f>
        <v>3912.55</v>
      </c>
      <c r="J198" s="18">
        <f>69.99</f>
        <v>69.989999999999995</v>
      </c>
      <c r="K198" s="18"/>
      <c r="L198" s="19">
        <f>SUM(F198:K198)</f>
        <v>1221429.92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20796.02+25502.5</f>
        <v>46298.520000000004</v>
      </c>
      <c r="G200" s="18">
        <f>2276.07+3543.44+174.2</f>
        <v>5993.71</v>
      </c>
      <c r="H200" s="18">
        <f>1234+38559.43+3997.89</f>
        <v>43791.32</v>
      </c>
      <c r="I200" s="18">
        <f>643.11</f>
        <v>643.11</v>
      </c>
      <c r="J200" s="18"/>
      <c r="K200" s="18">
        <f>80+80</f>
        <v>160</v>
      </c>
      <c r="L200" s="19">
        <f>SUM(F200:K200)</f>
        <v>96886.66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69788.19+90497.91+15173.82+91987+75778.5+4000</f>
        <v>347225.42000000004</v>
      </c>
      <c r="G202" s="18">
        <f>32516.16+27827.63+1160.82+28619.37+28992.5+1306.44</f>
        <v>120422.92</v>
      </c>
      <c r="H202" s="18">
        <f>5801.25+29.25+549.32+7531.29+184650.4+8431.23+285</f>
        <v>207277.74000000002</v>
      </c>
      <c r="I202" s="18">
        <f>2179.61+1048.42+741.35+935.81</f>
        <v>4905.1900000000005</v>
      </c>
      <c r="J202" s="18"/>
      <c r="K202" s="18">
        <f>387</f>
        <v>387</v>
      </c>
      <c r="L202" s="19">
        <f t="shared" ref="L202:L208" si="0">SUM(F202:K202)</f>
        <v>680218.27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93390.58+2000</f>
        <v>95390.58</v>
      </c>
      <c r="G203" s="18">
        <f>468+6980.25+28257.4+358.91</f>
        <v>36064.560000000005</v>
      </c>
      <c r="H203" s="18">
        <f>3508.15+985</f>
        <v>4493.1499999999996</v>
      </c>
      <c r="I203" s="18">
        <f>7213.78</f>
        <v>7213.78</v>
      </c>
      <c r="J203" s="18"/>
      <c r="K203" s="18"/>
      <c r="L203" s="19">
        <f t="shared" si="0"/>
        <v>143162.07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58594.63+46858.69+2000</f>
        <v>107453.32</v>
      </c>
      <c r="G204" s="18">
        <f>22854.29+10102.67+404.29</f>
        <v>33361.25</v>
      </c>
      <c r="H204" s="18">
        <f>8745.34+7212.21+3566.25+24396.06</f>
        <v>43919.86</v>
      </c>
      <c r="I204" s="18">
        <f>2589.31+1872.67</f>
        <v>4461.9799999999996</v>
      </c>
      <c r="J204" s="18">
        <f>148.19</f>
        <v>148.19</v>
      </c>
      <c r="K204" s="18">
        <f>6697.09+891.87+169.5</f>
        <v>7758.46</v>
      </c>
      <c r="L204" s="19">
        <f t="shared" si="0"/>
        <v>197103.06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191470.33+4000</f>
        <v>195470.33</v>
      </c>
      <c r="G205" s="18">
        <f>41238.15+735.46</f>
        <v>41973.61</v>
      </c>
      <c r="H205" s="18">
        <f>34068.21</f>
        <v>34068.21</v>
      </c>
      <c r="I205" s="18">
        <f>2146.14</f>
        <v>2146.14</v>
      </c>
      <c r="J205" s="18">
        <f>5737.49</f>
        <v>5737.49</v>
      </c>
      <c r="K205" s="18">
        <f>1500</f>
        <v>1500</v>
      </c>
      <c r="L205" s="19">
        <f t="shared" si="0"/>
        <v>280895.78000000003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59715.6</f>
        <v>59715.6</v>
      </c>
      <c r="G206" s="18">
        <f>23233.81+224.68</f>
        <v>23458.49</v>
      </c>
      <c r="H206" s="18">
        <f>317.85+10186.81</f>
        <v>10504.66</v>
      </c>
      <c r="I206" s="18"/>
      <c r="J206" s="18"/>
      <c r="K206" s="18">
        <f>556.51</f>
        <v>556.51</v>
      </c>
      <c r="L206" s="19">
        <f t="shared" si="0"/>
        <v>94235.26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65140.65+86361.18</f>
        <v>151501.82999999999</v>
      </c>
      <c r="G207" s="18">
        <f>26725.94+49635.4+570.03</f>
        <v>76931.37</v>
      </c>
      <c r="H207" s="18">
        <f>107326.16+115618+665.34</f>
        <v>223609.5</v>
      </c>
      <c r="I207" s="18">
        <f>40382.92+57477.31+12480</f>
        <v>110340.23</v>
      </c>
      <c r="J207" s="18">
        <f>3890.65</f>
        <v>3890.65</v>
      </c>
      <c r="K207" s="18"/>
      <c r="L207" s="19">
        <f t="shared" si="0"/>
        <v>566273.57999999996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79737.09+1369.4+3797.35+5933.52+59.89+2112.03</f>
        <v>93009.279999999999</v>
      </c>
      <c r="G208" s="18">
        <f>18334.89+104.76+290.44+453.85+4.57+161.33+349.95</f>
        <v>19699.789999999997</v>
      </c>
      <c r="H208" s="18">
        <f>24598.81+3957.92</f>
        <v>28556.730000000003</v>
      </c>
      <c r="I208" s="18">
        <f>37786.5</f>
        <v>37786.5</v>
      </c>
      <c r="J208" s="18">
        <f>45323.5</f>
        <v>45323.5</v>
      </c>
      <c r="K208" s="18">
        <f>169.5</f>
        <v>169.5</v>
      </c>
      <c r="L208" s="19">
        <f t="shared" si="0"/>
        <v>224545.3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1375.92</f>
        <v>1375.92</v>
      </c>
      <c r="G209" s="18">
        <f>105.26+5.18</f>
        <v>110.44</v>
      </c>
      <c r="H209" s="18"/>
      <c r="I209" s="18"/>
      <c r="J209" s="18"/>
      <c r="K209" s="18"/>
      <c r="L209" s="19">
        <f>SUM(F209:K209)</f>
        <v>1486.3600000000001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3727137.1999999997</v>
      </c>
      <c r="G211" s="41">
        <f t="shared" si="1"/>
        <v>1258546.5</v>
      </c>
      <c r="H211" s="41">
        <f t="shared" si="1"/>
        <v>896034.08000000007</v>
      </c>
      <c r="I211" s="41">
        <f t="shared" si="1"/>
        <v>222023.49</v>
      </c>
      <c r="J211" s="41">
        <f t="shared" si="1"/>
        <v>175667.8</v>
      </c>
      <c r="K211" s="41">
        <f t="shared" si="1"/>
        <v>10531.47</v>
      </c>
      <c r="L211" s="41">
        <f t="shared" si="1"/>
        <v>6289940.54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29765.96+1346128.94+4000+480</f>
        <v>1380374.9</v>
      </c>
      <c r="G215" s="18">
        <f>21457.15+565999.58+5193.66</f>
        <v>592650.39</v>
      </c>
      <c r="H215" s="18">
        <f>17480.39+12952.98</f>
        <v>30433.37</v>
      </c>
      <c r="I215" s="18">
        <f>1199.76+73060.71+1745.96</f>
        <v>76006.430000000008</v>
      </c>
      <c r="J215" s="18">
        <f>57216.7+12404.49</f>
        <v>69621.19</v>
      </c>
      <c r="K215" s="18">
        <f>1150.96</f>
        <v>1150.96</v>
      </c>
      <c r="L215" s="19">
        <f>SUM(F215:K215)</f>
        <v>2150237.2400000002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5424.61+7834.39+421042.93+2000</f>
        <v>436301.93</v>
      </c>
      <c r="G216" s="18">
        <f>599.4+955.52+108424.7+1641.59</f>
        <v>111621.20999999999</v>
      </c>
      <c r="H216" s="18">
        <f>16224+189917.19</f>
        <v>206141.19</v>
      </c>
      <c r="I216" s="18">
        <f>38.3+1503.22</f>
        <v>1541.52</v>
      </c>
      <c r="J216" s="18">
        <f>930.14</f>
        <v>930.14</v>
      </c>
      <c r="K216" s="18"/>
      <c r="L216" s="19">
        <f>SUM(F216:K216)</f>
        <v>756535.99000000011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9099.14+25490</f>
        <v>34589.14</v>
      </c>
      <c r="G218" s="18">
        <f>1731.02+4768.12+130.14</f>
        <v>6629.28</v>
      </c>
      <c r="H218" s="18">
        <f>516+11239.72+2460.24</f>
        <v>14215.96</v>
      </c>
      <c r="I218" s="18">
        <f>3282.64</f>
        <v>3282.64</v>
      </c>
      <c r="J218" s="18"/>
      <c r="K218" s="18">
        <f>525</f>
        <v>525</v>
      </c>
      <c r="L218" s="19">
        <f>SUM(F218:K218)</f>
        <v>59242.02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22899.25+17355.76+71288.99+14967.5</f>
        <v>126511.5</v>
      </c>
      <c r="G220" s="18">
        <f>10669.37+5336.81+27450.54+7274.51+476</f>
        <v>51207.23</v>
      </c>
      <c r="H220" s="18">
        <f>3570+18+105.35+1444.36+23081.3+443.75</f>
        <v>28662.76</v>
      </c>
      <c r="I220" s="18">
        <f>715.18+201.07+260.49+935.55</f>
        <v>2112.29</v>
      </c>
      <c r="J220" s="18"/>
      <c r="K220" s="18">
        <f>894+285</f>
        <v>1179</v>
      </c>
      <c r="L220" s="19">
        <f t="shared" ref="L220:L226" si="2">SUM(F220:K220)</f>
        <v>209672.78000000003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32858</f>
        <v>32858</v>
      </c>
      <c r="G221" s="18">
        <f>288+4580.25+16780.87+123.63</f>
        <v>21772.75</v>
      </c>
      <c r="H221" s="18">
        <f>549.44+1730.11</f>
        <v>2279.5500000000002</v>
      </c>
      <c r="I221" s="18">
        <f>4676.24</f>
        <v>4676.24</v>
      </c>
      <c r="J221" s="18"/>
      <c r="K221" s="18">
        <f>235</f>
        <v>235</v>
      </c>
      <c r="L221" s="19">
        <f t="shared" si="2"/>
        <v>61821.54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36058.23+22492.17+960</f>
        <v>59510.400000000001</v>
      </c>
      <c r="G222" s="18">
        <f>14064.18+4849.28+223.91</f>
        <v>19137.37</v>
      </c>
      <c r="H222" s="18">
        <f>5381.75+4438.29+1711.8+15012.96</f>
        <v>26544.799999999999</v>
      </c>
      <c r="I222" s="18">
        <f>1593.42+264.09</f>
        <v>1857.51</v>
      </c>
      <c r="J222" s="18">
        <f>91.2</f>
        <v>91.2</v>
      </c>
      <c r="K222" s="18">
        <f>4121.28+548.84+81.36</f>
        <v>4751.4799999999996</v>
      </c>
      <c r="L222" s="19">
        <f t="shared" si="2"/>
        <v>111892.76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111232.16</f>
        <v>111232.16</v>
      </c>
      <c r="G223" s="18">
        <f>64005.45+418.51</f>
        <v>64423.96</v>
      </c>
      <c r="H223" s="18">
        <f>19531.37</f>
        <v>19531.37</v>
      </c>
      <c r="I223" s="18">
        <f>249.4</f>
        <v>249.4</v>
      </c>
      <c r="J223" s="18">
        <f>2560</f>
        <v>2560</v>
      </c>
      <c r="K223" s="18">
        <f>474.99</f>
        <v>474.99</v>
      </c>
      <c r="L223" s="19">
        <f t="shared" si="2"/>
        <v>198471.87999999998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36748.06</f>
        <v>36748.06</v>
      </c>
      <c r="G224" s="18">
        <f>14297.73+138.26</f>
        <v>14435.99</v>
      </c>
      <c r="H224" s="18">
        <f>195.6+6268.8</f>
        <v>6464.4000000000005</v>
      </c>
      <c r="I224" s="18"/>
      <c r="J224" s="18"/>
      <c r="K224" s="18">
        <f>342.47</f>
        <v>342.47</v>
      </c>
      <c r="L224" s="19">
        <f t="shared" si="2"/>
        <v>57990.92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40086.56+84386.1</f>
        <v>124472.66</v>
      </c>
      <c r="G225" s="18">
        <f>16446.73+38816.05+468.33</f>
        <v>55731.11</v>
      </c>
      <c r="H225" s="18">
        <f>66046.87+2809+409.44</f>
        <v>69265.31</v>
      </c>
      <c r="I225" s="18">
        <f>24851.03+213319.68+7680</f>
        <v>245850.71</v>
      </c>
      <c r="J225" s="18">
        <f>2394.24</f>
        <v>2394.2399999999998</v>
      </c>
      <c r="K225" s="18"/>
      <c r="L225" s="19">
        <f t="shared" si="2"/>
        <v>497714.03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38493.76+193.12+723.3+31.28+4115.16+2474.67</f>
        <v>46031.290000000008</v>
      </c>
      <c r="G226" s="18">
        <f>8851.32+14.77+55.32+2.39+314.68+189.19+173.19</f>
        <v>9600.86</v>
      </c>
      <c r="H226" s="18">
        <f>11875.29+1910.72</f>
        <v>13786.01</v>
      </c>
      <c r="I226" s="18">
        <f>18241.76</f>
        <v>18241.759999999998</v>
      </c>
      <c r="J226" s="18">
        <f>21880.34</f>
        <v>21880.34</v>
      </c>
      <c r="K226" s="18">
        <f>81.83</f>
        <v>81.83</v>
      </c>
      <c r="L226" s="19">
        <f t="shared" si="2"/>
        <v>109622.09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846.72</f>
        <v>846.72</v>
      </c>
      <c r="G227" s="18">
        <f>64.78+3.19</f>
        <v>67.97</v>
      </c>
      <c r="H227" s="18"/>
      <c r="I227" s="18"/>
      <c r="J227" s="18"/>
      <c r="K227" s="18"/>
      <c r="L227" s="19">
        <f>SUM(F227:K227)</f>
        <v>914.69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2389476.7600000002</v>
      </c>
      <c r="G229" s="41">
        <f>SUM(G215:G228)</f>
        <v>947278.11999999988</v>
      </c>
      <c r="H229" s="41">
        <f>SUM(H215:H228)</f>
        <v>417324.72</v>
      </c>
      <c r="I229" s="41">
        <f>SUM(I215:I228)</f>
        <v>353818.5</v>
      </c>
      <c r="J229" s="41">
        <f>SUM(J215:J228)</f>
        <v>97477.11</v>
      </c>
      <c r="K229" s="41">
        <f t="shared" si="3"/>
        <v>8740.73</v>
      </c>
      <c r="L229" s="41">
        <f t="shared" si="3"/>
        <v>4214115.9400000004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45889.19+1743607.49+12000+740</f>
        <v>1802236.68</v>
      </c>
      <c r="G233" s="18">
        <f>33079.78+730924.08+6780.92</f>
        <v>770784.78</v>
      </c>
      <c r="H233" s="18">
        <f>26948.93+37218.5</f>
        <v>64167.43</v>
      </c>
      <c r="I233" s="18">
        <f>1849.63+58146.7</f>
        <v>59996.329999999994</v>
      </c>
      <c r="J233" s="18">
        <f>88209.08+27866.68+2776.69</f>
        <v>118852.45000000001</v>
      </c>
      <c r="K233" s="18">
        <f>659</f>
        <v>659</v>
      </c>
      <c r="L233" s="19">
        <f>SUM(F233:K233)</f>
        <v>2816696.6700000004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5424.61+8487.26+562865.67</f>
        <v>576777.54</v>
      </c>
      <c r="G234" s="18">
        <f>649.36+955.52+140307.9+2170.13</f>
        <v>144082.91</v>
      </c>
      <c r="H234" s="18">
        <f>17576+475084.49+82048.5</f>
        <v>574708.99</v>
      </c>
      <c r="I234" s="18">
        <f>38.3+1733.02</f>
        <v>1771.32</v>
      </c>
      <c r="J234" s="18"/>
      <c r="K234" s="18"/>
      <c r="L234" s="19">
        <f>SUM(F234:K234)</f>
        <v>1297340.76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f>432818.55+4000</f>
        <v>436818.55</v>
      </c>
      <c r="G235" s="18">
        <f>190694.7+1643.53</f>
        <v>192338.23</v>
      </c>
      <c r="H235" s="18">
        <f>1777.46</f>
        <v>1777.46</v>
      </c>
      <c r="I235" s="18">
        <f>45487.81</f>
        <v>45487.81</v>
      </c>
      <c r="J235" s="18">
        <f>2187.33</f>
        <v>2187.33</v>
      </c>
      <c r="K235" s="18"/>
      <c r="L235" s="19">
        <f>SUM(F235:K235)</f>
        <v>678609.38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20021.79+88304.05</f>
        <v>108325.84</v>
      </c>
      <c r="G236" s="18">
        <f>3934.79+14254.89+407.58</f>
        <v>18597.260000000002</v>
      </c>
      <c r="H236" s="18">
        <f>39947.4+3792.87</f>
        <v>43740.270000000004</v>
      </c>
      <c r="I236" s="18">
        <f>1370.5+13910.64</f>
        <v>15281.14</v>
      </c>
      <c r="J236" s="18">
        <f>2248</f>
        <v>2248</v>
      </c>
      <c r="K236" s="18">
        <f>12958.22</f>
        <v>12958.22</v>
      </c>
      <c r="L236" s="19">
        <f>SUM(F236:K236)</f>
        <v>201150.73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16356.61+16116.07+7473.68+175768.16+32622</f>
        <v>248336.52000000002</v>
      </c>
      <c r="G238" s="18">
        <f>7620.98+4955.61+571.74+72321.91+27684.03+934.37</f>
        <v>114088.64</v>
      </c>
      <c r="H238" s="18">
        <f>5503.75+27.75+97.83+1341.19+23081.3+9383.36+2360</f>
        <v>41795.18</v>
      </c>
      <c r="I238" s="18">
        <f>510.84+186.7+2966.8+1539.08</f>
        <v>5203.42</v>
      </c>
      <c r="J238" s="18">
        <f>973.64</f>
        <v>973.64</v>
      </c>
      <c r="K238" s="18">
        <f>1163</f>
        <v>1163</v>
      </c>
      <c r="L238" s="19">
        <f t="shared" ref="L238:L244" si="4">SUM(F238:K238)</f>
        <v>411560.4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69253.63</f>
        <v>69253.63</v>
      </c>
      <c r="G239" s="18">
        <f>444+7165.5+27787.52+260.57</f>
        <v>35657.590000000004</v>
      </c>
      <c r="H239" s="18">
        <f>3013.83+1069+2259.27</f>
        <v>6342.1</v>
      </c>
      <c r="I239" s="18">
        <f>3539.12+6880.55</f>
        <v>10419.67</v>
      </c>
      <c r="J239" s="18"/>
      <c r="K239" s="18"/>
      <c r="L239" s="19">
        <f t="shared" si="4"/>
        <v>121672.99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55589.78+24366.52+99308.76+1040</f>
        <v>180305.06</v>
      </c>
      <c r="G240" s="18">
        <f>21682.28+5253.39+33429.31+678.4</f>
        <v>61043.38</v>
      </c>
      <c r="H240" s="18">
        <f>8296.87+6842.36+1854.45+5343.75+23144.98</f>
        <v>45482.41</v>
      </c>
      <c r="I240" s="18">
        <f>2456.52+264.09</f>
        <v>2720.61</v>
      </c>
      <c r="J240" s="18">
        <f>140.6</f>
        <v>140.6</v>
      </c>
      <c r="K240" s="18">
        <f>6353.64+1500+846.13+88.14+100</f>
        <v>8887.91</v>
      </c>
      <c r="L240" s="19">
        <f t="shared" si="4"/>
        <v>298579.96999999991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251332.6</f>
        <v>251332.6</v>
      </c>
      <c r="G241" s="18">
        <f>76805.3+945.64</f>
        <v>77750.94</v>
      </c>
      <c r="H241" s="18">
        <f>25119.41</f>
        <v>25119.41</v>
      </c>
      <c r="I241" s="18">
        <f>3863.76</f>
        <v>3863.76</v>
      </c>
      <c r="J241" s="18">
        <f>6228.24</f>
        <v>6228.24</v>
      </c>
      <c r="K241" s="18">
        <f>4775</f>
        <v>4775</v>
      </c>
      <c r="L241" s="19">
        <f t="shared" si="4"/>
        <v>369069.95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56653.26</f>
        <v>56653.26</v>
      </c>
      <c r="G242" s="18">
        <f>22042.34+213.16</f>
        <v>22255.5</v>
      </c>
      <c r="H242" s="18">
        <f>301.55+9664.41</f>
        <v>9965.9599999999991</v>
      </c>
      <c r="I242" s="18"/>
      <c r="J242" s="18"/>
      <c r="K242" s="18">
        <f>527.97</f>
        <v>527.97</v>
      </c>
      <c r="L242" s="19">
        <f t="shared" si="4"/>
        <v>89402.69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61800.11+132267.46</f>
        <v>194067.57</v>
      </c>
      <c r="G243" s="18">
        <f>25355.38+73264.29+730.18</f>
        <v>99349.849999999991</v>
      </c>
      <c r="H243" s="18">
        <f>101822.25+2850.8+631.22</f>
        <v>105304.27</v>
      </c>
      <c r="I243" s="18">
        <f>38312+228053.84+11840</f>
        <v>278205.83999999997</v>
      </c>
      <c r="J243" s="18">
        <v>3691.12</v>
      </c>
      <c r="K243" s="18"/>
      <c r="L243" s="19">
        <f t="shared" si="4"/>
        <v>680618.65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19246.88+193.12+2444.07+16134.56+3929.2</f>
        <v>41947.829999999994</v>
      </c>
      <c r="G244" s="18">
        <f>4425.66+14.77+186.88+1234+300.38+157.83</f>
        <v>6319.52</v>
      </c>
      <c r="H244" s="18">
        <f>5937.65+620.35+955.36</f>
        <v>7513.36</v>
      </c>
      <c r="I244" s="18">
        <f>9120.88</f>
        <v>9120.8799999999992</v>
      </c>
      <c r="J244" s="18">
        <f>10940.16</f>
        <v>10940.16</v>
      </c>
      <c r="K244" s="18">
        <f>40.92</f>
        <v>40.92</v>
      </c>
      <c r="L244" s="19">
        <f t="shared" si="4"/>
        <v>75882.669999999984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1305.36</f>
        <v>1305.3599999999999</v>
      </c>
      <c r="G245" s="18">
        <f>99.87+4.91</f>
        <v>104.78</v>
      </c>
      <c r="H245" s="18"/>
      <c r="I245" s="18"/>
      <c r="J245" s="18"/>
      <c r="K245" s="18"/>
      <c r="L245" s="19">
        <f>SUM(F245:K245)</f>
        <v>1410.1399999999999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3967360.439999999</v>
      </c>
      <c r="G247" s="41">
        <f t="shared" si="5"/>
        <v>1542373.3800000001</v>
      </c>
      <c r="H247" s="41">
        <f t="shared" si="5"/>
        <v>925916.84000000008</v>
      </c>
      <c r="I247" s="41">
        <f t="shared" si="5"/>
        <v>432070.77999999997</v>
      </c>
      <c r="J247" s="41">
        <f t="shared" si="5"/>
        <v>145261.54000000004</v>
      </c>
      <c r="K247" s="41">
        <f t="shared" si="5"/>
        <v>29012.019999999997</v>
      </c>
      <c r="L247" s="41">
        <f t="shared" si="5"/>
        <v>7041995.0000000019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10083974.399999999</v>
      </c>
      <c r="G257" s="41">
        <f t="shared" si="8"/>
        <v>3748198</v>
      </c>
      <c r="H257" s="41">
        <f t="shared" si="8"/>
        <v>2239275.64</v>
      </c>
      <c r="I257" s="41">
        <f t="shared" si="8"/>
        <v>1007912.77</v>
      </c>
      <c r="J257" s="41">
        <f t="shared" si="8"/>
        <v>418406.45</v>
      </c>
      <c r="K257" s="41">
        <f t="shared" si="8"/>
        <v>48284.219999999994</v>
      </c>
      <c r="L257" s="41">
        <f t="shared" si="8"/>
        <v>17546051.480000004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10083974.399999999</v>
      </c>
      <c r="G271" s="42">
        <f t="shared" si="11"/>
        <v>3748198</v>
      </c>
      <c r="H271" s="42">
        <f t="shared" si="11"/>
        <v>2239275.64</v>
      </c>
      <c r="I271" s="42">
        <f t="shared" si="11"/>
        <v>1007912.77</v>
      </c>
      <c r="J271" s="42">
        <f t="shared" si="11"/>
        <v>418406.45</v>
      </c>
      <c r="K271" s="42">
        <f t="shared" si="11"/>
        <v>48284.219999999994</v>
      </c>
      <c r="L271" s="42">
        <f t="shared" si="11"/>
        <v>17546051.480000004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745.5+17117.3</f>
        <v>17862.8</v>
      </c>
      <c r="G276" s="18">
        <f>57.04+28837.86</f>
        <v>28894.9</v>
      </c>
      <c r="H276" s="18">
        <f>3101.66+51052.66</f>
        <v>54154.320000000007</v>
      </c>
      <c r="I276" s="18">
        <f>29482.88</f>
        <v>29482.880000000001</v>
      </c>
      <c r="J276" s="18">
        <f>40065.21</f>
        <v>40065.21</v>
      </c>
      <c r="K276" s="18">
        <f>2372.25</f>
        <v>2372.25</v>
      </c>
      <c r="L276" s="19">
        <f>SUM(F276:K276)</f>
        <v>172832.36000000002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10391.14+449385.19</f>
        <v>459776.33</v>
      </c>
      <c r="G277" s="18">
        <f>949.09+105382.51</f>
        <v>106331.59999999999</v>
      </c>
      <c r="H277" s="18">
        <f>592.02+250</f>
        <v>842.02</v>
      </c>
      <c r="I277" s="18">
        <f>5123.17</f>
        <v>5123.17</v>
      </c>
      <c r="J277" s="18">
        <f>2769.94</f>
        <v>2769.94</v>
      </c>
      <c r="K277" s="18">
        <f>606.93+15000</f>
        <v>15606.93</v>
      </c>
      <c r="L277" s="19">
        <f>SUM(F277:K277)</f>
        <v>590449.99000000011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116810.16</f>
        <v>116810.16</v>
      </c>
      <c r="G279" s="18">
        <f>21354.44</f>
        <v>21354.44</v>
      </c>
      <c r="H279" s="18">
        <f>4433.49</f>
        <v>4433.49</v>
      </c>
      <c r="I279" s="18"/>
      <c r="J279" s="18"/>
      <c r="K279" s="18"/>
      <c r="L279" s="19">
        <f>SUM(F279:K279)</f>
        <v>142598.09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158053.95+12909+6976</f>
        <v>177938.95</v>
      </c>
      <c r="G281" s="18">
        <f>39966.46+987.6+3759.08</f>
        <v>44713.14</v>
      </c>
      <c r="H281" s="18">
        <f>2500</f>
        <v>2500</v>
      </c>
      <c r="I281" s="18"/>
      <c r="J281" s="18"/>
      <c r="K281" s="18"/>
      <c r="L281" s="19">
        <f t="shared" ref="L281:L287" si="12">SUM(F281:K281)</f>
        <v>225152.09000000003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4088.37+6087.18+2280.7</f>
        <v>12456.25</v>
      </c>
      <c r="I282" s="18"/>
      <c r="J282" s="18"/>
      <c r="K282" s="18"/>
      <c r="L282" s="19">
        <f t="shared" si="12"/>
        <v>12456.25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f>7128.5</f>
        <v>7128.5</v>
      </c>
      <c r="G283" s="18">
        <f>3001.18</f>
        <v>3001.18</v>
      </c>
      <c r="H283" s="18">
        <f>365</f>
        <v>365</v>
      </c>
      <c r="I283" s="18">
        <f>255.89</f>
        <v>255.89</v>
      </c>
      <c r="J283" s="18">
        <f>5854.24</f>
        <v>5854.24</v>
      </c>
      <c r="K283" s="18"/>
      <c r="L283" s="19">
        <f t="shared" si="12"/>
        <v>16604.809999999998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>
        <f>8365.62</f>
        <v>8365.6200000000008</v>
      </c>
      <c r="K288" s="18"/>
      <c r="L288" s="19">
        <f>SUM(F288:K288)</f>
        <v>8365.6200000000008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779516.74</v>
      </c>
      <c r="G290" s="42">
        <f t="shared" si="13"/>
        <v>204295.26</v>
      </c>
      <c r="H290" s="42">
        <f t="shared" si="13"/>
        <v>74751.08</v>
      </c>
      <c r="I290" s="42">
        <f t="shared" si="13"/>
        <v>34861.94</v>
      </c>
      <c r="J290" s="42">
        <f t="shared" si="13"/>
        <v>57055.01</v>
      </c>
      <c r="K290" s="42">
        <f t="shared" si="13"/>
        <v>17979.18</v>
      </c>
      <c r="L290" s="41">
        <f t="shared" si="13"/>
        <v>1168459.2100000002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142+2950</f>
        <v>3092</v>
      </c>
      <c r="G295" s="18">
        <f>10.86+643.41</f>
        <v>654.27</v>
      </c>
      <c r="H295" s="18">
        <f>590.79</f>
        <v>590.79</v>
      </c>
      <c r="I295" s="18"/>
      <c r="J295" s="18"/>
      <c r="K295" s="18"/>
      <c r="L295" s="19">
        <f>SUM(F295:K295)</f>
        <v>4337.0599999999995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4987.74</f>
        <v>4987.74</v>
      </c>
      <c r="G296" s="18">
        <f>455.56</f>
        <v>455.56</v>
      </c>
      <c r="H296" s="18">
        <f>364.32</f>
        <v>364.32</v>
      </c>
      <c r="I296" s="18"/>
      <c r="J296" s="18">
        <f>1329.57</f>
        <v>1329.57</v>
      </c>
      <c r="K296" s="18"/>
      <c r="L296" s="19">
        <f>SUM(F296:K296)</f>
        <v>7137.19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>
        <f>16000</f>
        <v>16000</v>
      </c>
      <c r="J297" s="18"/>
      <c r="K297" s="18"/>
      <c r="L297" s="19">
        <f>SUM(F297:K297)</f>
        <v>16000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f>22249.56</f>
        <v>22249.56</v>
      </c>
      <c r="G298" s="18">
        <f>4067.51</f>
        <v>4067.51</v>
      </c>
      <c r="H298" s="18">
        <f>844.48</f>
        <v>844.48</v>
      </c>
      <c r="I298" s="18"/>
      <c r="J298" s="18"/>
      <c r="K298" s="18"/>
      <c r="L298" s="19">
        <f>SUM(F298:K298)</f>
        <v>27161.55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30311.72</f>
        <v>30311.72</v>
      </c>
      <c r="G300" s="18">
        <f>7664.8</f>
        <v>7664.8</v>
      </c>
      <c r="H300" s="18">
        <f>1200+13000</f>
        <v>14200</v>
      </c>
      <c r="I300" s="18"/>
      <c r="J300" s="18"/>
      <c r="K300" s="18"/>
      <c r="L300" s="19">
        <f t="shared" ref="L300:L306" si="14">SUM(F300:K300)</f>
        <v>52176.520000000004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f>2515.92+3745.96+1100+8463.8</f>
        <v>15825.68</v>
      </c>
      <c r="I301" s="18"/>
      <c r="J301" s="18"/>
      <c r="K301" s="18"/>
      <c r="L301" s="19">
        <f t="shared" si="14"/>
        <v>15825.68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f>3421.68</f>
        <v>3421.68</v>
      </c>
      <c r="G302" s="18">
        <f>1440.56</f>
        <v>1440.56</v>
      </c>
      <c r="H302" s="18">
        <f>175.2</f>
        <v>175.2</v>
      </c>
      <c r="I302" s="18">
        <f>122.83</f>
        <v>122.83</v>
      </c>
      <c r="J302" s="18">
        <f>2810.03</f>
        <v>2810.03</v>
      </c>
      <c r="K302" s="18"/>
      <c r="L302" s="19">
        <f t="shared" si="14"/>
        <v>7970.2999999999993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>
        <f>1593.45</f>
        <v>1593.45</v>
      </c>
      <c r="K307" s="18"/>
      <c r="L307" s="19">
        <f>SUM(F307:K307)</f>
        <v>1593.45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64062.700000000004</v>
      </c>
      <c r="G309" s="42">
        <f t="shared" si="15"/>
        <v>14282.699999999999</v>
      </c>
      <c r="H309" s="42">
        <f t="shared" si="15"/>
        <v>32000.47</v>
      </c>
      <c r="I309" s="42">
        <f t="shared" si="15"/>
        <v>16122.83</v>
      </c>
      <c r="J309" s="42">
        <f t="shared" si="15"/>
        <v>5733.05</v>
      </c>
      <c r="K309" s="42">
        <f t="shared" si="15"/>
        <v>0</v>
      </c>
      <c r="L309" s="41">
        <f t="shared" si="15"/>
        <v>132201.75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4450</f>
        <v>4450</v>
      </c>
      <c r="G314" s="18">
        <f>956.39</f>
        <v>956.39</v>
      </c>
      <c r="H314" s="18"/>
      <c r="I314" s="18">
        <f>1414.04</f>
        <v>1414.04</v>
      </c>
      <c r="J314" s="18"/>
      <c r="K314" s="18"/>
      <c r="L314" s="19">
        <f>SUM(F314:K314)</f>
        <v>6820.43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5403.39</f>
        <v>5403.39</v>
      </c>
      <c r="G315" s="18">
        <f>493.53</f>
        <v>493.53</v>
      </c>
      <c r="H315" s="18">
        <f>561.66</f>
        <v>561.66</v>
      </c>
      <c r="I315" s="18"/>
      <c r="J315" s="18">
        <f>1440.37</f>
        <v>1440.37</v>
      </c>
      <c r="K315" s="18"/>
      <c r="L315" s="19">
        <f>SUM(F315:K315)</f>
        <v>7898.95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>
        <f>15111.72</f>
        <v>15111.72</v>
      </c>
      <c r="I316" s="18">
        <f>7074</f>
        <v>7074</v>
      </c>
      <c r="J316" s="18">
        <f>35686.39</f>
        <v>35686.39</v>
      </c>
      <c r="K316" s="18">
        <f>1664.42</f>
        <v>1664.42</v>
      </c>
      <c r="L316" s="19">
        <f>SUM(F316:K316)</f>
        <v>59536.53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f>1932.95</f>
        <v>1932.95</v>
      </c>
      <c r="G317" s="18">
        <f>402.09</f>
        <v>402.09</v>
      </c>
      <c r="H317" s="18"/>
      <c r="I317" s="18"/>
      <c r="J317" s="18"/>
      <c r="K317" s="18"/>
      <c r="L317" s="19">
        <f>SUM(F317:K317)</f>
        <v>2335.04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28146.59</f>
        <v>28146.59</v>
      </c>
      <c r="G319" s="18">
        <f>7117.32</f>
        <v>7117.32</v>
      </c>
      <c r="H319" s="18">
        <f>1300</f>
        <v>1300</v>
      </c>
      <c r="I319" s="18"/>
      <c r="J319" s="18"/>
      <c r="K319" s="18"/>
      <c r="L319" s="19">
        <f t="shared" ref="L319:L325" si="16">SUM(F319:K319)</f>
        <v>36563.910000000003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f>3878.71+5775.02+5000</f>
        <v>14653.73</v>
      </c>
      <c r="I320" s="18"/>
      <c r="J320" s="18"/>
      <c r="K320" s="18"/>
      <c r="L320" s="19">
        <f t="shared" si="16"/>
        <v>14653.73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f>3706.82</f>
        <v>3706.82</v>
      </c>
      <c r="G321" s="18">
        <f>1560.61</f>
        <v>1560.61</v>
      </c>
      <c r="H321" s="18">
        <f>189.8</f>
        <v>189.8</v>
      </c>
      <c r="I321" s="18">
        <f>133.06</f>
        <v>133.06</v>
      </c>
      <c r="J321" s="18">
        <f>3044.2</f>
        <v>3044.2</v>
      </c>
      <c r="K321" s="18"/>
      <c r="L321" s="19">
        <f t="shared" si="16"/>
        <v>8634.4900000000016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f>474.09</f>
        <v>474.09</v>
      </c>
      <c r="I325" s="18"/>
      <c r="J325" s="18"/>
      <c r="K325" s="18"/>
      <c r="L325" s="19">
        <f t="shared" si="16"/>
        <v>474.09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43639.75</v>
      </c>
      <c r="G328" s="42">
        <f t="shared" si="17"/>
        <v>10529.94</v>
      </c>
      <c r="H328" s="42">
        <f t="shared" si="17"/>
        <v>32290.999999999996</v>
      </c>
      <c r="I328" s="42">
        <f t="shared" si="17"/>
        <v>8621.1</v>
      </c>
      <c r="J328" s="42">
        <f t="shared" si="17"/>
        <v>40170.959999999999</v>
      </c>
      <c r="K328" s="42">
        <f t="shared" si="17"/>
        <v>1664.42</v>
      </c>
      <c r="L328" s="41">
        <f t="shared" si="17"/>
        <v>136917.16999999998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887219.19</v>
      </c>
      <c r="G338" s="41">
        <f t="shared" si="20"/>
        <v>229107.90000000002</v>
      </c>
      <c r="H338" s="41">
        <f t="shared" si="20"/>
        <v>139042.54999999999</v>
      </c>
      <c r="I338" s="41">
        <f t="shared" si="20"/>
        <v>59605.87</v>
      </c>
      <c r="J338" s="41">
        <f t="shared" si="20"/>
        <v>102959.02</v>
      </c>
      <c r="K338" s="41">
        <f t="shared" si="20"/>
        <v>19643.599999999999</v>
      </c>
      <c r="L338" s="41">
        <f t="shared" si="20"/>
        <v>1437578.1300000001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5400</v>
      </c>
      <c r="L350" s="19">
        <f t="shared" si="21"/>
        <v>5400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5400</v>
      </c>
      <c r="L351" s="41">
        <f>SUM(L341:L350)</f>
        <v>5400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887219.19</v>
      </c>
      <c r="G352" s="41">
        <f>G338</f>
        <v>229107.90000000002</v>
      </c>
      <c r="H352" s="41">
        <f>H338</f>
        <v>139042.54999999999</v>
      </c>
      <c r="I352" s="41">
        <f>I338</f>
        <v>59605.87</v>
      </c>
      <c r="J352" s="41">
        <f>J338</f>
        <v>102959.02</v>
      </c>
      <c r="K352" s="47">
        <f>K338+K351</f>
        <v>25043.599999999999</v>
      </c>
      <c r="L352" s="41">
        <f>L338+L351</f>
        <v>1442978.1300000001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104641.64+5416.9</f>
        <v>110058.54</v>
      </c>
      <c r="G358" s="18">
        <f>18255.91</f>
        <v>18255.91</v>
      </c>
      <c r="H358" s="18">
        <f>1923.57</f>
        <v>1923.57</v>
      </c>
      <c r="I358" s="18">
        <f>122891.51</f>
        <v>122891.51</v>
      </c>
      <c r="J358" s="18">
        <f>54.21</f>
        <v>54.21</v>
      </c>
      <c r="K358" s="18">
        <f>68.02</f>
        <v>68.02</v>
      </c>
      <c r="L358" s="13">
        <f>SUM(F358:K358)</f>
        <v>253251.75999999998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59028.62+413.97</f>
        <v>59442.590000000004</v>
      </c>
      <c r="G359" s="18">
        <f>10298.2</f>
        <v>10298.200000000001</v>
      </c>
      <c r="H359" s="18">
        <f>1233.06</f>
        <v>1233.06</v>
      </c>
      <c r="I359" s="18">
        <f>78776.62</f>
        <v>78776.62</v>
      </c>
      <c r="J359" s="18">
        <f>34.75</f>
        <v>34.75</v>
      </c>
      <c r="K359" s="18">
        <v>43.6</v>
      </c>
      <c r="L359" s="19">
        <f>SUM(F359:K359)</f>
        <v>149828.82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104641.64</f>
        <v>104641.64</v>
      </c>
      <c r="G360" s="18">
        <f>18255.91</f>
        <v>18255.91</v>
      </c>
      <c r="H360" s="18">
        <f>1775.6</f>
        <v>1775.6</v>
      </c>
      <c r="I360" s="18">
        <f>113438.33</f>
        <v>113438.33</v>
      </c>
      <c r="J360" s="18">
        <f>50.04</f>
        <v>50.04</v>
      </c>
      <c r="K360" s="18">
        <v>62.78</v>
      </c>
      <c r="L360" s="19">
        <f>SUM(F360:K360)</f>
        <v>238224.30000000002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274142.77</v>
      </c>
      <c r="G362" s="47">
        <f t="shared" si="22"/>
        <v>46810.020000000004</v>
      </c>
      <c r="H362" s="47">
        <f t="shared" si="22"/>
        <v>4932.2299999999996</v>
      </c>
      <c r="I362" s="47">
        <f t="shared" si="22"/>
        <v>315106.46000000002</v>
      </c>
      <c r="J362" s="47">
        <f t="shared" si="22"/>
        <v>139</v>
      </c>
      <c r="K362" s="47">
        <f t="shared" si="22"/>
        <v>174.4</v>
      </c>
      <c r="L362" s="47">
        <f t="shared" si="22"/>
        <v>641304.88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110852.58</v>
      </c>
      <c r="G367" s="18">
        <f>71059.34</f>
        <v>71059.34</v>
      </c>
      <c r="H367" s="18">
        <f>102325.45</f>
        <v>102325.45</v>
      </c>
      <c r="I367" s="56">
        <f>SUM(F367:H367)</f>
        <v>284237.37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12038.93</f>
        <v>12038.93</v>
      </c>
      <c r="G368" s="63">
        <f>7717.28</f>
        <v>7717.28</v>
      </c>
      <c r="H368" s="63">
        <f>11112.88</f>
        <v>11112.88</v>
      </c>
      <c r="I368" s="56">
        <f>SUM(F368:H368)</f>
        <v>30869.089999999997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122891.51000000001</v>
      </c>
      <c r="G369" s="47">
        <f>SUM(G367:G368)</f>
        <v>78776.62</v>
      </c>
      <c r="H369" s="47">
        <f>SUM(H367:H368)</f>
        <v>113438.33</v>
      </c>
      <c r="I369" s="47">
        <f>SUM(I367:I368)</f>
        <v>315106.45999999996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/>
      <c r="G465" s="18">
        <v>20129.310000000001</v>
      </c>
      <c r="H465" s="18">
        <v>45994.25</v>
      </c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17546051.48</v>
      </c>
      <c r="G468" s="18">
        <v>624151.1</v>
      </c>
      <c r="H468" s="18">
        <v>1416222.75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-324.8</v>
      </c>
      <c r="H469" s="18">
        <v>-82.28</v>
      </c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17546051.48</v>
      </c>
      <c r="G470" s="53">
        <f>SUM(G468:G469)</f>
        <v>623826.29999999993</v>
      </c>
      <c r="H470" s="53">
        <f>SUM(H468:H469)</f>
        <v>1416140.47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17546051.480000004</v>
      </c>
      <c r="G472" s="18">
        <v>641304.88</v>
      </c>
      <c r="H472" s="18">
        <v>1442978.1300000001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17546051.480000004</v>
      </c>
      <c r="G474" s="53">
        <f>SUM(G472:G473)</f>
        <v>641304.88</v>
      </c>
      <c r="H474" s="53">
        <f>SUM(H472:H473)</f>
        <v>1442978.1300000001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0</v>
      </c>
      <c r="G476" s="53">
        <f>(G465+G470)- G474</f>
        <v>2650.7299999999814</v>
      </c>
      <c r="H476" s="53">
        <f>(H465+H470)- H474</f>
        <v>19156.589999999851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29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914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1713290</v>
      </c>
      <c r="G493" s="18">
        <v>577185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4.3</v>
      </c>
      <c r="G494" s="18">
        <v>2.85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579997.36</v>
      </c>
      <c r="G495" s="18">
        <v>263556.93</v>
      </c>
      <c r="H495" s="18"/>
      <c r="I495" s="18"/>
      <c r="J495" s="18"/>
      <c r="K495" s="53">
        <f>SUM(F495:J495)</f>
        <v>843554.29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185105.4</v>
      </c>
      <c r="G497" s="18">
        <v>16035.6</v>
      </c>
      <c r="H497" s="18"/>
      <c r="I497" s="18"/>
      <c r="J497" s="18"/>
      <c r="K497" s="53">
        <f t="shared" si="35"/>
        <v>201141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394891.96</v>
      </c>
      <c r="G498" s="204">
        <v>247521.33</v>
      </c>
      <c r="H498" s="204"/>
      <c r="I498" s="204"/>
      <c r="J498" s="204"/>
      <c r="K498" s="205">
        <f t="shared" si="35"/>
        <v>642413.29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26133.18</v>
      </c>
      <c r="G499" s="18">
        <v>72923.966000000015</v>
      </c>
      <c r="H499" s="18"/>
      <c r="I499" s="18"/>
      <c r="J499" s="18"/>
      <c r="K499" s="53">
        <f t="shared" si="35"/>
        <v>99057.146000000008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421025.14</v>
      </c>
      <c r="G500" s="42">
        <f>SUM(G498:G499)</f>
        <v>320445.29599999997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741470.43599999999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193214.07</v>
      </c>
      <c r="G501" s="204">
        <v>16932</v>
      </c>
      <c r="H501" s="204"/>
      <c r="I501" s="204"/>
      <c r="J501" s="204"/>
      <c r="K501" s="205">
        <f t="shared" si="35"/>
        <v>210146.07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17298.5</v>
      </c>
      <c r="G502" s="18">
        <f>6299.87+5868.1</f>
        <v>12167.970000000001</v>
      </c>
      <c r="H502" s="18"/>
      <c r="I502" s="18"/>
      <c r="J502" s="18"/>
      <c r="K502" s="53">
        <f t="shared" si="35"/>
        <v>29466.47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210512.57</v>
      </c>
      <c r="G503" s="42">
        <f>SUM(G501:G502)</f>
        <v>29099.97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239612.54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38465.42+16321.65+691334.59+10391.14</f>
        <v>756512.79999999993</v>
      </c>
      <c r="G521" s="18">
        <f>1248.76+6775.49+172421.24+949.09</f>
        <v>181394.58</v>
      </c>
      <c r="H521" s="18">
        <f>33800.01+160411.58+76779.69</f>
        <v>270991.28000000003</v>
      </c>
      <c r="I521" s="18">
        <f>271.61+1136.49+751.82+1752.63</f>
        <v>3912.55</v>
      </c>
      <c r="J521" s="18">
        <f>2769.94+69.99</f>
        <v>2839.93</v>
      </c>
      <c r="K521" s="18"/>
      <c r="L521" s="88">
        <f>SUM(F521:K521)</f>
        <v>1215651.1399999999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5424.61+7834.39+421042.93+4987.74</f>
        <v>439289.67</v>
      </c>
      <c r="G522" s="18">
        <f>599.4+955.52+108424.7+455.56</f>
        <v>110435.18</v>
      </c>
      <c r="H522" s="18">
        <f>16224+189917.19</f>
        <v>206141.19</v>
      </c>
      <c r="I522" s="18">
        <f>38.3+1503.22</f>
        <v>1541.52</v>
      </c>
      <c r="J522" s="18">
        <f>1329.57</f>
        <v>1329.57</v>
      </c>
      <c r="K522" s="18"/>
      <c r="L522" s="88">
        <f>SUM(F522:K522)</f>
        <v>758737.13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5424.61+8487.26+562865.67+5403.39</f>
        <v>582180.93000000005</v>
      </c>
      <c r="G523" s="18">
        <f>649.36+955.52+140307.9+493.53</f>
        <v>142406.31</v>
      </c>
      <c r="H523" s="18">
        <f>17576+475084.49</f>
        <v>492660.49</v>
      </c>
      <c r="I523" s="18">
        <f>38.3+1733.02</f>
        <v>1771.32</v>
      </c>
      <c r="J523" s="18">
        <f>1440.37</f>
        <v>1440.37</v>
      </c>
      <c r="K523" s="18"/>
      <c r="L523" s="88">
        <f>SUM(F523:K523)</f>
        <v>1220459.4200000002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1777983.4</v>
      </c>
      <c r="G524" s="108">
        <f t="shared" ref="G524:L524" si="36">SUM(G521:G523)</f>
        <v>434236.07</v>
      </c>
      <c r="H524" s="108">
        <f t="shared" si="36"/>
        <v>969792.96</v>
      </c>
      <c r="I524" s="108">
        <f t="shared" si="36"/>
        <v>7225.3899999999994</v>
      </c>
      <c r="J524" s="108">
        <f t="shared" si="36"/>
        <v>5609.87</v>
      </c>
      <c r="K524" s="108">
        <f t="shared" si="36"/>
        <v>0</v>
      </c>
      <c r="L524" s="89">
        <f t="shared" si="36"/>
        <v>3194847.6900000004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69788.19+90497.91+15173.82+158053.95+6976</f>
        <v>340489.87</v>
      </c>
      <c r="G526" s="18">
        <f>32516.16+27827.63+1160.82+39966.46+3759.08</f>
        <v>105230.15000000001</v>
      </c>
      <c r="H526" s="18">
        <f>549.32+7531.29+184650.4+8431.23+2500</f>
        <v>203662.24</v>
      </c>
      <c r="I526" s="18">
        <f>2179.61+1048.42</f>
        <v>3228.03</v>
      </c>
      <c r="J526" s="18"/>
      <c r="K526" s="18"/>
      <c r="L526" s="88">
        <f>SUM(F526:K526)</f>
        <v>652610.29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22899.25+17355.76+30311.72</f>
        <v>70566.73</v>
      </c>
      <c r="G527" s="18">
        <f>10669.37+5336.81+7664.8</f>
        <v>23670.98</v>
      </c>
      <c r="H527" s="18">
        <f>105.35+1444.36+23081.3+443.75+1200</f>
        <v>26274.76</v>
      </c>
      <c r="I527" s="18">
        <f>715.18+201.07</f>
        <v>916.25</v>
      </c>
      <c r="J527" s="18"/>
      <c r="K527" s="18"/>
      <c r="L527" s="88">
        <f>SUM(F527:K527)</f>
        <v>121428.71999999999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16356.61+16116.07+7473.68+28146.59</f>
        <v>68092.95</v>
      </c>
      <c r="G528" s="18">
        <f>7620.98+4955.61+571.74+7117.32</f>
        <v>20265.650000000001</v>
      </c>
      <c r="H528" s="18">
        <f>97.83+1341.19+23081.3+1300</f>
        <v>25820.32</v>
      </c>
      <c r="I528" s="18">
        <f>510.84+186.7</f>
        <v>697.54</v>
      </c>
      <c r="J528" s="18"/>
      <c r="K528" s="18"/>
      <c r="L528" s="88">
        <f>SUM(F528:K528)</f>
        <v>114876.46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479149.55</v>
      </c>
      <c r="G529" s="89">
        <f t="shared" ref="G529:L529" si="37">SUM(G526:G528)</f>
        <v>149166.78</v>
      </c>
      <c r="H529" s="89">
        <f t="shared" si="37"/>
        <v>255757.32</v>
      </c>
      <c r="I529" s="89">
        <f t="shared" si="37"/>
        <v>4841.8200000000006</v>
      </c>
      <c r="J529" s="89">
        <f t="shared" si="37"/>
        <v>0</v>
      </c>
      <c r="K529" s="89">
        <f t="shared" si="37"/>
        <v>0</v>
      </c>
      <c r="L529" s="89">
        <f t="shared" si="37"/>
        <v>888915.47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46858.69</f>
        <v>46858.69</v>
      </c>
      <c r="G531" s="18">
        <f>10102.67</f>
        <v>10102.67</v>
      </c>
      <c r="H531" s="18">
        <f>3566.25</f>
        <v>3566.25</v>
      </c>
      <c r="I531" s="18">
        <f>1872.67</f>
        <v>1872.67</v>
      </c>
      <c r="J531" s="18"/>
      <c r="K531" s="18">
        <f>169.5</f>
        <v>169.5</v>
      </c>
      <c r="L531" s="88">
        <f>SUM(F531:K531)</f>
        <v>62569.78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22492.17</f>
        <v>22492.17</v>
      </c>
      <c r="G532" s="18">
        <f>4849.28</f>
        <v>4849.28</v>
      </c>
      <c r="H532" s="18">
        <f>1711.8</f>
        <v>1711.8</v>
      </c>
      <c r="I532" s="18">
        <f>264.09</f>
        <v>264.08999999999997</v>
      </c>
      <c r="J532" s="18"/>
      <c r="K532" s="18">
        <f>81.36</f>
        <v>81.36</v>
      </c>
      <c r="L532" s="88">
        <f>SUM(F532:K532)</f>
        <v>29398.699999999997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24366.52</f>
        <v>24366.52</v>
      </c>
      <c r="G533" s="18">
        <f>5253.39</f>
        <v>5253.39</v>
      </c>
      <c r="H533" s="18">
        <f>1854.45</f>
        <v>1854.45</v>
      </c>
      <c r="I533" s="18">
        <f>264.09</f>
        <v>264.08999999999997</v>
      </c>
      <c r="J533" s="18"/>
      <c r="K533" s="18">
        <f>88.14</f>
        <v>88.14</v>
      </c>
      <c r="L533" s="88">
        <f>SUM(F533:K533)</f>
        <v>31826.59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93717.38</v>
      </c>
      <c r="G534" s="89">
        <f t="shared" ref="G534:L534" si="38">SUM(G531:G533)</f>
        <v>20205.34</v>
      </c>
      <c r="H534" s="89">
        <f t="shared" si="38"/>
        <v>7132.5</v>
      </c>
      <c r="I534" s="89">
        <f t="shared" si="38"/>
        <v>2400.8500000000004</v>
      </c>
      <c r="J534" s="89">
        <f t="shared" si="38"/>
        <v>0</v>
      </c>
      <c r="K534" s="89">
        <f t="shared" si="38"/>
        <v>339</v>
      </c>
      <c r="L534" s="89">
        <f t="shared" si="38"/>
        <v>123795.06999999999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f>1369.4+5933.52</f>
        <v>7302.92</v>
      </c>
      <c r="G541" s="18">
        <f>104.76+453.85</f>
        <v>558.61</v>
      </c>
      <c r="H541" s="18"/>
      <c r="I541" s="18"/>
      <c r="J541" s="18"/>
      <c r="K541" s="18"/>
      <c r="L541" s="88">
        <f>SUM(F541:K541)</f>
        <v>7861.53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f>193.12+31.28</f>
        <v>224.4</v>
      </c>
      <c r="G542" s="18">
        <f>14.77+2.39</f>
        <v>17.16</v>
      </c>
      <c r="H542" s="18"/>
      <c r="I542" s="18"/>
      <c r="J542" s="18"/>
      <c r="K542" s="18"/>
      <c r="L542" s="88">
        <f>SUM(F542:K542)</f>
        <v>241.56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f>193.12+2444.07</f>
        <v>2637.19</v>
      </c>
      <c r="G543" s="18">
        <f>14.77+186.88</f>
        <v>201.65</v>
      </c>
      <c r="H543" s="18"/>
      <c r="I543" s="18"/>
      <c r="J543" s="18"/>
      <c r="K543" s="18"/>
      <c r="L543" s="88">
        <f>SUM(F543:K543)</f>
        <v>2838.84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10164.51</v>
      </c>
      <c r="G544" s="193">
        <f t="shared" ref="G544:L544" si="40">SUM(G541:G543)</f>
        <v>777.42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10941.93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2361014.8399999994</v>
      </c>
      <c r="G545" s="89">
        <f t="shared" ref="G545:L545" si="41">G524+G529+G534+G539+G544</f>
        <v>604385.61</v>
      </c>
      <c r="H545" s="89">
        <f t="shared" si="41"/>
        <v>1232682.78</v>
      </c>
      <c r="I545" s="89">
        <f t="shared" si="41"/>
        <v>14468.06</v>
      </c>
      <c r="J545" s="89">
        <f t="shared" si="41"/>
        <v>5609.87</v>
      </c>
      <c r="K545" s="89">
        <f t="shared" si="41"/>
        <v>339</v>
      </c>
      <c r="L545" s="89">
        <f t="shared" si="41"/>
        <v>4218500.16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1215651.1399999999</v>
      </c>
      <c r="G549" s="87">
        <f>L526</f>
        <v>652610.29</v>
      </c>
      <c r="H549" s="87">
        <f>L531</f>
        <v>62569.78</v>
      </c>
      <c r="I549" s="87">
        <f>L536</f>
        <v>0</v>
      </c>
      <c r="J549" s="87">
        <f>L541</f>
        <v>7861.53</v>
      </c>
      <c r="K549" s="87">
        <f>SUM(F549:J549)</f>
        <v>1938692.74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758737.13</v>
      </c>
      <c r="G550" s="87">
        <f>L527</f>
        <v>121428.71999999999</v>
      </c>
      <c r="H550" s="87">
        <f>L532</f>
        <v>29398.699999999997</v>
      </c>
      <c r="I550" s="87">
        <f>L537</f>
        <v>0</v>
      </c>
      <c r="J550" s="87">
        <f>L542</f>
        <v>241.56</v>
      </c>
      <c r="K550" s="87">
        <f>SUM(F550:J550)</f>
        <v>909806.11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1220459.4200000002</v>
      </c>
      <c r="G551" s="87">
        <f>L528</f>
        <v>114876.46</v>
      </c>
      <c r="H551" s="87">
        <f>L533</f>
        <v>31826.59</v>
      </c>
      <c r="I551" s="87">
        <f>L538</f>
        <v>0</v>
      </c>
      <c r="J551" s="87">
        <f>L543</f>
        <v>2838.84</v>
      </c>
      <c r="K551" s="87">
        <f>SUM(F551:J551)</f>
        <v>1370001.3100000003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3194847.6900000004</v>
      </c>
      <c r="G552" s="89">
        <f t="shared" si="42"/>
        <v>888915.47</v>
      </c>
      <c r="H552" s="89">
        <f t="shared" si="42"/>
        <v>123795.06999999999</v>
      </c>
      <c r="I552" s="89">
        <f t="shared" si="42"/>
        <v>0</v>
      </c>
      <c r="J552" s="89">
        <f t="shared" si="42"/>
        <v>10941.93</v>
      </c>
      <c r="K552" s="89">
        <f t="shared" si="42"/>
        <v>4218500.16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f>449385.19</f>
        <v>449385.19</v>
      </c>
      <c r="G557" s="18">
        <f>105382.51</f>
        <v>105382.51</v>
      </c>
      <c r="H557" s="18">
        <f>250</f>
        <v>250</v>
      </c>
      <c r="I557" s="18">
        <v>5123.17</v>
      </c>
      <c r="J557" s="18"/>
      <c r="K557" s="18">
        <v>606.92999999999995</v>
      </c>
      <c r="L557" s="88">
        <f>SUM(F557:K557)</f>
        <v>560747.80000000005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>
        <f>82048.5</f>
        <v>82048.5</v>
      </c>
      <c r="I559" s="18"/>
      <c r="J559" s="18"/>
      <c r="K559" s="18"/>
      <c r="L559" s="88">
        <f>SUM(F559:K559)</f>
        <v>82048.5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449385.19</v>
      </c>
      <c r="G560" s="108">
        <f t="shared" si="43"/>
        <v>105382.51</v>
      </c>
      <c r="H560" s="108">
        <f t="shared" si="43"/>
        <v>82298.5</v>
      </c>
      <c r="I560" s="108">
        <f t="shared" si="43"/>
        <v>5123.17</v>
      </c>
      <c r="J560" s="108">
        <f t="shared" si="43"/>
        <v>0</v>
      </c>
      <c r="K560" s="108">
        <f t="shared" si="43"/>
        <v>606.92999999999995</v>
      </c>
      <c r="L560" s="89">
        <f t="shared" si="43"/>
        <v>642796.30000000005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15812.5</v>
      </c>
      <c r="G562" s="18">
        <v>1209.67</v>
      </c>
      <c r="H562" s="18"/>
      <c r="I562" s="18"/>
      <c r="J562" s="18"/>
      <c r="K562" s="18"/>
      <c r="L562" s="88">
        <f>SUM(F562:K562)</f>
        <v>17022.169999999998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15812.5</v>
      </c>
      <c r="G565" s="89">
        <f t="shared" si="44"/>
        <v>1209.67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17022.169999999998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465197.69</v>
      </c>
      <c r="G571" s="89">
        <f t="shared" ref="G571:L571" si="46">G560+G565+G570</f>
        <v>106592.18</v>
      </c>
      <c r="H571" s="89">
        <f t="shared" si="46"/>
        <v>82298.5</v>
      </c>
      <c r="I571" s="89">
        <f t="shared" si="46"/>
        <v>5123.17</v>
      </c>
      <c r="J571" s="89">
        <f t="shared" si="46"/>
        <v>0</v>
      </c>
      <c r="K571" s="89">
        <f t="shared" si="46"/>
        <v>606.92999999999995</v>
      </c>
      <c r="L571" s="89">
        <f t="shared" si="46"/>
        <v>659818.47000000009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>
        <v>5285.5</v>
      </c>
      <c r="H578" s="18">
        <f>36556</f>
        <v>36556</v>
      </c>
      <c r="I578" s="87">
        <f t="shared" si="47"/>
        <v>41841.5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f>26571.23</f>
        <v>26571.23</v>
      </c>
      <c r="I579" s="87">
        <f t="shared" si="47"/>
        <v>26571.23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f>11518</f>
        <v>11518</v>
      </c>
      <c r="I581" s="87">
        <f t="shared" si="47"/>
        <v>11518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160411.58+76779.69</f>
        <v>237191.27</v>
      </c>
      <c r="G582" s="18">
        <f>5735.2+184181.99</f>
        <v>189917.19</v>
      </c>
      <c r="H582" s="18">
        <f>44843.04+392152.22</f>
        <v>436995.25999999995</v>
      </c>
      <c r="I582" s="87">
        <f t="shared" si="47"/>
        <v>864103.72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205950.31+3957.92+349.95</f>
        <v>210258.18000000002</v>
      </c>
      <c r="I591" s="18">
        <f>99424.29+1910.72+173.19</f>
        <v>101508.2</v>
      </c>
      <c r="J591" s="18">
        <f>49712.14+620.35+955.36+157.83</f>
        <v>51445.68</v>
      </c>
      <c r="K591" s="104">
        <f t="shared" ref="K591:K597" si="48">SUM(H591:J591)</f>
        <v>363212.06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1474.15+6387.37</f>
        <v>7861.52</v>
      </c>
      <c r="I592" s="18">
        <f>207.89+33.67</f>
        <v>241.56</v>
      </c>
      <c r="J592" s="18">
        <f>207.9+2630.95</f>
        <v>2838.85</v>
      </c>
      <c r="K592" s="104">
        <f t="shared" si="48"/>
        <v>10941.93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f>64.46</f>
        <v>64.459999999999994</v>
      </c>
      <c r="I594" s="18">
        <f>4429.84</f>
        <v>4429.84</v>
      </c>
      <c r="J594" s="18">
        <f>17368.56</f>
        <v>17368.560000000001</v>
      </c>
      <c r="K594" s="104">
        <f t="shared" si="48"/>
        <v>21862.86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2273.36</f>
        <v>2273.36</v>
      </c>
      <c r="I595" s="18">
        <f>2663.86</f>
        <v>2663.86</v>
      </c>
      <c r="J595" s="18">
        <f>4229.58</f>
        <v>4229.58</v>
      </c>
      <c r="K595" s="104">
        <f t="shared" si="48"/>
        <v>9166.7999999999993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f>4087.78</f>
        <v>4087.78</v>
      </c>
      <c r="I597" s="18">
        <f>778.63</f>
        <v>778.63</v>
      </c>
      <c r="J597" s="18"/>
      <c r="K597" s="104">
        <f t="shared" si="48"/>
        <v>4866.41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224545.3</v>
      </c>
      <c r="I598" s="108">
        <f>SUM(I591:I597)</f>
        <v>109622.09</v>
      </c>
      <c r="J598" s="108">
        <f>SUM(J591:J597)</f>
        <v>75882.67</v>
      </c>
      <c r="K598" s="108">
        <f>SUM(K591:K597)</f>
        <v>410050.05999999994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227058.07</v>
      </c>
      <c r="I604" s="18">
        <v>106977.58</v>
      </c>
      <c r="J604" s="18">
        <v>187329.82</v>
      </c>
      <c r="K604" s="104">
        <f>SUM(H604:J604)</f>
        <v>521365.47000000003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227058.07</v>
      </c>
      <c r="I605" s="108">
        <f>SUM(I602:I604)</f>
        <v>106977.58</v>
      </c>
      <c r="J605" s="108">
        <f>SUM(J602:J604)</f>
        <v>187329.82</v>
      </c>
      <c r="K605" s="108">
        <f>SUM(K602:K604)</f>
        <v>521365.47000000003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0</v>
      </c>
      <c r="H617" s="109">
        <f>SUM(F52)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2650.73</v>
      </c>
      <c r="H618" s="109">
        <f>SUM(G52)</f>
        <v>2650.73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19156.59</v>
      </c>
      <c r="H619" s="109">
        <f>SUM(H52)</f>
        <v>19156.59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2650.73</v>
      </c>
      <c r="H623" s="109">
        <f>G476</f>
        <v>2650.7299999999814</v>
      </c>
      <c r="I623" s="121" t="s">
        <v>102</v>
      </c>
      <c r="J623" s="109">
        <f t="shared" si="50"/>
        <v>1.8644641386345029E-11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19156.59</v>
      </c>
      <c r="H624" s="109">
        <f>H476</f>
        <v>19156.589999999851</v>
      </c>
      <c r="I624" s="121" t="s">
        <v>103</v>
      </c>
      <c r="J624" s="109">
        <f t="shared" si="50"/>
        <v>1.4915713109076023E-10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17546051.48</v>
      </c>
      <c r="H627" s="104">
        <f>SUM(F468)</f>
        <v>17546051.48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624151.1</v>
      </c>
      <c r="H628" s="104">
        <f>SUM(G468)</f>
        <v>624151.1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1416222.7500000002</v>
      </c>
      <c r="H629" s="104">
        <f>SUM(H468)</f>
        <v>1416222.75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17546051.480000004</v>
      </c>
      <c r="H632" s="104">
        <f>SUM(F472)</f>
        <v>17546051.480000004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1442978.1300000001</v>
      </c>
      <c r="H633" s="104">
        <f>SUM(H472)</f>
        <v>1442978.1300000001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315106.46000000002</v>
      </c>
      <c r="H634" s="104">
        <f>I369</f>
        <v>315106.45999999996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641304.88</v>
      </c>
      <c r="H635" s="104">
        <f>SUM(G472)</f>
        <v>641304.88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410050.05999999994</v>
      </c>
      <c r="H647" s="104">
        <f>L208+L226+L244</f>
        <v>410050.06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521365.47000000003</v>
      </c>
      <c r="H648" s="104">
        <f>(J257+J338)-(J255+J336)</f>
        <v>521365.47000000003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224545.3</v>
      </c>
      <c r="H649" s="104">
        <f>H598</f>
        <v>224545.3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109622.09</v>
      </c>
      <c r="H650" s="104">
        <f>I598</f>
        <v>109622.09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75882.669999999984</v>
      </c>
      <c r="H651" s="104">
        <f>J598</f>
        <v>75882.67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7711651.5099999998</v>
      </c>
      <c r="G660" s="19">
        <f>(L229+L309+L359)</f>
        <v>4496146.5100000007</v>
      </c>
      <c r="H660" s="19">
        <f>(L247+L328+L360)</f>
        <v>7417136.4700000016</v>
      </c>
      <c r="I660" s="19">
        <f>SUM(F660:H660)</f>
        <v>19624934.490000002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84282.938383502085</v>
      </c>
      <c r="G661" s="19">
        <f>(L359/IF(SUM(L358:L360)=0,1,SUM(L358:L360))*(SUM(G97:G110)))</f>
        <v>49863.47658208901</v>
      </c>
      <c r="H661" s="19">
        <f>(L360/IF(SUM(L358:L360)=0,1,SUM(L358:L360))*(SUM(G97:G110)))</f>
        <v>79281.75503440891</v>
      </c>
      <c r="I661" s="19">
        <f>SUM(F661:H661)</f>
        <v>213428.17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179221.8</v>
      </c>
      <c r="G662" s="19">
        <f>(L226+L306)-(J226+J306)</f>
        <v>87741.75</v>
      </c>
      <c r="H662" s="19">
        <f>(L244+L325)-(J244+J325)</f>
        <v>65416.599999999977</v>
      </c>
      <c r="I662" s="19">
        <f>SUM(F662:H662)</f>
        <v>332380.14999999997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464249.33999999997</v>
      </c>
      <c r="G663" s="199">
        <f>SUM(G575:G587)+SUM(I602:I604)+L612</f>
        <v>302180.27</v>
      </c>
      <c r="H663" s="199">
        <f>SUM(H575:H587)+SUM(J602:J604)+L613</f>
        <v>698970.30999999994</v>
      </c>
      <c r="I663" s="19">
        <f>SUM(F663:H663)</f>
        <v>1465399.92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6983897.4316164982</v>
      </c>
      <c r="G664" s="19">
        <f>G660-SUM(G661:G663)</f>
        <v>4056361.0134179117</v>
      </c>
      <c r="H664" s="19">
        <f>H660-SUM(H661:H663)</f>
        <v>6573467.8049655929</v>
      </c>
      <c r="I664" s="19">
        <f>I660-SUM(I661:I663)</f>
        <v>17613726.250000004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445.95</v>
      </c>
      <c r="G665" s="248">
        <v>284.24</v>
      </c>
      <c r="H665" s="248">
        <v>423.36</v>
      </c>
      <c r="I665" s="19">
        <f>SUM(F665:H665)</f>
        <v>1153.5500000000002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15660.72</v>
      </c>
      <c r="G667" s="19">
        <f>ROUND(G664/G665,2)</f>
        <v>14270.9</v>
      </c>
      <c r="H667" s="19">
        <f>ROUND(H664/H665,2)</f>
        <v>15526.9</v>
      </c>
      <c r="I667" s="19">
        <f>ROUND(I664/I665,2)</f>
        <v>15269.15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9.11</v>
      </c>
      <c r="I670" s="19">
        <f>SUM(F670:H670)</f>
        <v>9.11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15660.72</v>
      </c>
      <c r="G672" s="19">
        <f>ROUND((G664+G669)/(G665+G670),2)</f>
        <v>14270.9</v>
      </c>
      <c r="H672" s="19">
        <f>ROUND((H664+H669)/(H665+H670),2)</f>
        <v>15199.82</v>
      </c>
      <c r="I672" s="19">
        <f>ROUND((I664+I669)/(I665+I670),2)</f>
        <v>15149.51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E40" sqref="E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Berlin SD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5075778.6199999992</v>
      </c>
      <c r="C9" s="229">
        <f>'DOE25'!G197+'DOE25'!G215+'DOE25'!G233+'DOE25'!G276+'DOE25'!G295+'DOE25'!G314</f>
        <v>2109949.1500000004</v>
      </c>
    </row>
    <row r="10" spans="1:3" x14ac:dyDescent="0.2">
      <c r="A10" t="s">
        <v>779</v>
      </c>
      <c r="B10" s="240">
        <f>4849268.55</f>
        <v>4849268.55</v>
      </c>
      <c r="C10" s="240">
        <f>2107776.59</f>
        <v>2107776.59</v>
      </c>
    </row>
    <row r="11" spans="1:3" x14ac:dyDescent="0.2">
      <c r="A11" t="s">
        <v>780</v>
      </c>
      <c r="B11" s="240">
        <f>130085.27</f>
        <v>130085.27</v>
      </c>
      <c r="C11" s="240">
        <f>1247.71</f>
        <v>1247.71</v>
      </c>
    </row>
    <row r="12" spans="1:3" x14ac:dyDescent="0.2">
      <c r="A12" t="s">
        <v>781</v>
      </c>
      <c r="B12" s="240">
        <f>96424.8</f>
        <v>96424.8</v>
      </c>
      <c r="C12" s="240">
        <f>924.85</f>
        <v>924.85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5075778.6199999992</v>
      </c>
      <c r="C13" s="231">
        <f>SUM(C10:C12)</f>
        <v>2109949.15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2245181.0900000003</v>
      </c>
      <c r="C18" s="229">
        <f>'DOE25'!G198+'DOE25'!G216+'DOE25'!G234+'DOE25'!G277+'DOE25'!G296+'DOE25'!G315</f>
        <v>547506.75000000012</v>
      </c>
    </row>
    <row r="19" spans="1:3" x14ac:dyDescent="0.2">
      <c r="A19" t="s">
        <v>779</v>
      </c>
      <c r="B19" s="240">
        <f>1038447.83+15812.5</f>
        <v>1054260.33</v>
      </c>
      <c r="C19" s="240">
        <f>446704.95+1209.67</f>
        <v>447914.62</v>
      </c>
    </row>
    <row r="20" spans="1:3" x14ac:dyDescent="0.2">
      <c r="A20" t="s">
        <v>780</v>
      </c>
      <c r="B20" s="240">
        <f>1158277.46</f>
        <v>1158277.46</v>
      </c>
      <c r="C20" s="240">
        <f>94433.53</f>
        <v>94433.53</v>
      </c>
    </row>
    <row r="21" spans="1:3" x14ac:dyDescent="0.2">
      <c r="A21" t="s">
        <v>781</v>
      </c>
      <c r="B21" s="240">
        <f>32643.3</f>
        <v>32643.3</v>
      </c>
      <c r="C21" s="240">
        <f>5158.6</f>
        <v>5158.6000000000004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2245181.09</v>
      </c>
      <c r="C22" s="231">
        <f>SUM(C19:C21)</f>
        <v>547506.75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436818.55</v>
      </c>
      <c r="C27" s="234">
        <f>'DOE25'!G199+'DOE25'!G217+'DOE25'!G235+'DOE25'!G278+'DOE25'!G297+'DOE25'!G316</f>
        <v>192338.23</v>
      </c>
    </row>
    <row r="28" spans="1:3" x14ac:dyDescent="0.2">
      <c r="A28" t="s">
        <v>779</v>
      </c>
      <c r="B28" s="240">
        <f>417282</f>
        <v>417282</v>
      </c>
      <c r="C28" s="240">
        <f>190769.5</f>
        <v>190769.5</v>
      </c>
    </row>
    <row r="29" spans="1:3" x14ac:dyDescent="0.2">
      <c r="A29" t="s">
        <v>780</v>
      </c>
      <c r="B29" s="240">
        <f>19536.55</f>
        <v>19536.55</v>
      </c>
      <c r="C29" s="240">
        <f>1568.73</f>
        <v>1568.73</v>
      </c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436818.55</v>
      </c>
      <c r="C31" s="231">
        <f>SUM(C28:C30)</f>
        <v>192338.23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330206.17000000004</v>
      </c>
      <c r="C36" s="235">
        <f>'DOE25'!G200+'DOE25'!G218+'DOE25'!G236+'DOE25'!G279+'DOE25'!G298+'DOE25'!G317</f>
        <v>57044.29</v>
      </c>
    </row>
    <row r="37" spans="1:3" x14ac:dyDescent="0.2">
      <c r="A37" t="s">
        <v>779</v>
      </c>
      <c r="B37" s="240">
        <f>33044.3</f>
        <v>33044.300000000003</v>
      </c>
      <c r="C37" s="240">
        <v>6722.15</v>
      </c>
    </row>
    <row r="38" spans="1:3" x14ac:dyDescent="0.2">
      <c r="A38" t="s">
        <v>780</v>
      </c>
      <c r="B38" s="240">
        <v>16872.650000000001</v>
      </c>
      <c r="C38" s="240">
        <v>1327.35</v>
      </c>
    </row>
    <row r="39" spans="1:3" x14ac:dyDescent="0.2">
      <c r="A39" t="s">
        <v>781</v>
      </c>
      <c r="B39" s="240">
        <f>280289.22</f>
        <v>280289.21999999997</v>
      </c>
      <c r="C39" s="240">
        <f>48994.79</f>
        <v>48994.79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330206.17</v>
      </c>
      <c r="C40" s="231">
        <f>SUM(C37:C39)</f>
        <v>57044.29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Berlin SD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12061833.650000002</v>
      </c>
      <c r="D5" s="20">
        <f>SUM('DOE25'!L197:L200)+SUM('DOE25'!L215:L218)+SUM('DOE25'!L233:L236)-F5-G5</f>
        <v>11731973.390000002</v>
      </c>
      <c r="E5" s="243"/>
      <c r="F5" s="255">
        <f>SUM('DOE25'!J197:J200)+SUM('DOE25'!J215:J218)+SUM('DOE25'!J233:J236)</f>
        <v>314407.08</v>
      </c>
      <c r="G5" s="53">
        <f>SUM('DOE25'!K197:K200)+SUM('DOE25'!K215:K218)+SUM('DOE25'!K233:K236)</f>
        <v>15453.18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1301451.4500000002</v>
      </c>
      <c r="D6" s="20">
        <f>'DOE25'!L202+'DOE25'!L220+'DOE25'!L238-F6-G6</f>
        <v>1297748.8100000003</v>
      </c>
      <c r="E6" s="243"/>
      <c r="F6" s="255">
        <f>'DOE25'!J202+'DOE25'!J220+'DOE25'!J238</f>
        <v>973.64</v>
      </c>
      <c r="G6" s="53">
        <f>'DOE25'!K202+'DOE25'!K220+'DOE25'!K238</f>
        <v>2729</v>
      </c>
      <c r="H6" s="259"/>
    </row>
    <row r="7" spans="1:9" x14ac:dyDescent="0.2">
      <c r="A7" s="32">
        <v>2200</v>
      </c>
      <c r="B7" t="s">
        <v>834</v>
      </c>
      <c r="C7" s="245">
        <f t="shared" si="0"/>
        <v>326656.60000000003</v>
      </c>
      <c r="D7" s="20">
        <f>'DOE25'!L203+'DOE25'!L221+'DOE25'!L239-F7-G7</f>
        <v>326421.60000000003</v>
      </c>
      <c r="E7" s="243"/>
      <c r="F7" s="255">
        <f>'DOE25'!J203+'DOE25'!J221+'DOE25'!J239</f>
        <v>0</v>
      </c>
      <c r="G7" s="53">
        <f>'DOE25'!K203+'DOE25'!K221+'DOE25'!K239</f>
        <v>235</v>
      </c>
      <c r="H7" s="259"/>
    </row>
    <row r="8" spans="1:9" x14ac:dyDescent="0.2">
      <c r="A8" s="32">
        <v>2300</v>
      </c>
      <c r="B8" t="s">
        <v>802</v>
      </c>
      <c r="C8" s="245">
        <f t="shared" si="0"/>
        <v>357720.60999999987</v>
      </c>
      <c r="D8" s="243"/>
      <c r="E8" s="20">
        <f>'DOE25'!L204+'DOE25'!L222+'DOE25'!L240-F8-G8-D9-D11</f>
        <v>335942.7699999999</v>
      </c>
      <c r="F8" s="255">
        <f>'DOE25'!J204+'DOE25'!J222+'DOE25'!J240</f>
        <v>379.99</v>
      </c>
      <c r="G8" s="53">
        <f>'DOE25'!K204+'DOE25'!K222+'DOE25'!K240</f>
        <v>21397.85</v>
      </c>
      <c r="H8" s="259"/>
    </row>
    <row r="9" spans="1:9" x14ac:dyDescent="0.2">
      <c r="A9" s="32">
        <v>2310</v>
      </c>
      <c r="B9" t="s">
        <v>818</v>
      </c>
      <c r="C9" s="245">
        <f t="shared" si="0"/>
        <v>27490.52</v>
      </c>
      <c r="D9" s="244">
        <v>27490.52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222364.66</v>
      </c>
      <c r="D11" s="244">
        <v>222364.66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848437.6100000001</v>
      </c>
      <c r="D12" s="20">
        <f>'DOE25'!L205+'DOE25'!L223+'DOE25'!L241-F12-G12</f>
        <v>827161.89000000013</v>
      </c>
      <c r="E12" s="243"/>
      <c r="F12" s="255">
        <f>'DOE25'!J205+'DOE25'!J223+'DOE25'!J241</f>
        <v>14525.73</v>
      </c>
      <c r="G12" s="53">
        <f>'DOE25'!K205+'DOE25'!K223+'DOE25'!K241</f>
        <v>6749.99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241628.87</v>
      </c>
      <c r="D13" s="243"/>
      <c r="E13" s="20">
        <f>'DOE25'!L206+'DOE25'!L224+'DOE25'!L242-F13-G13</f>
        <v>240201.91999999998</v>
      </c>
      <c r="F13" s="255">
        <f>'DOE25'!J206+'DOE25'!J224+'DOE25'!J242</f>
        <v>0</v>
      </c>
      <c r="G13" s="53">
        <f>'DOE25'!K206+'DOE25'!K224+'DOE25'!K242</f>
        <v>1426.95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1744606.2599999998</v>
      </c>
      <c r="D14" s="20">
        <f>'DOE25'!L207+'DOE25'!L225+'DOE25'!L243-F14-G14</f>
        <v>1734630.2499999998</v>
      </c>
      <c r="E14" s="243"/>
      <c r="F14" s="255">
        <f>'DOE25'!J207+'DOE25'!J225+'DOE25'!J243</f>
        <v>9976.0099999999984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410050.06</v>
      </c>
      <c r="D15" s="20">
        <f>'DOE25'!L208+'DOE25'!L226+'DOE25'!L244-F15-G15</f>
        <v>331613.81</v>
      </c>
      <c r="E15" s="243"/>
      <c r="F15" s="255">
        <f>'DOE25'!J208+'DOE25'!J226+'DOE25'!J244</f>
        <v>78144</v>
      </c>
      <c r="G15" s="53">
        <f>'DOE25'!K208+'DOE25'!K226+'DOE25'!K244</f>
        <v>292.25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3811.19</v>
      </c>
      <c r="D16" s="243"/>
      <c r="E16" s="20">
        <f>'DOE25'!L209+'DOE25'!L227+'DOE25'!L245-F16-G16</f>
        <v>3811.19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357067.51</v>
      </c>
      <c r="D29" s="20">
        <f>'DOE25'!L358+'DOE25'!L359+'DOE25'!L360-'DOE25'!I367-F29-G29</f>
        <v>356754.11</v>
      </c>
      <c r="E29" s="243"/>
      <c r="F29" s="255">
        <f>'DOE25'!J358+'DOE25'!J359+'DOE25'!J360</f>
        <v>139</v>
      </c>
      <c r="G29" s="53">
        <f>'DOE25'!K358+'DOE25'!K359+'DOE25'!K360</f>
        <v>174.4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1437578.1300000001</v>
      </c>
      <c r="D31" s="20">
        <f>'DOE25'!L290+'DOE25'!L309+'DOE25'!L328+'DOE25'!L333+'DOE25'!L334+'DOE25'!L335-F31-G31</f>
        <v>1314975.51</v>
      </c>
      <c r="E31" s="243"/>
      <c r="F31" s="255">
        <f>'DOE25'!J290+'DOE25'!J309+'DOE25'!J328+'DOE25'!J333+'DOE25'!J334+'DOE25'!J335</f>
        <v>102959.02</v>
      </c>
      <c r="G31" s="53">
        <f>'DOE25'!K290+'DOE25'!K309+'DOE25'!K328+'DOE25'!K333+'DOE25'!K334+'DOE25'!K335</f>
        <v>19643.599999999999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18171134.550000004</v>
      </c>
      <c r="E33" s="246">
        <f>SUM(E5:E31)</f>
        <v>579955.87999999989</v>
      </c>
      <c r="F33" s="246">
        <f>SUM(F5:F31)</f>
        <v>521504.47000000003</v>
      </c>
      <c r="G33" s="246">
        <f>SUM(G5:G31)</f>
        <v>68102.22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579955.87999999989</v>
      </c>
      <c r="E35" s="249"/>
    </row>
    <row r="36" spans="2:8" ht="12" thickTop="1" x14ac:dyDescent="0.2">
      <c r="B36" t="s">
        <v>815</v>
      </c>
      <c r="D36" s="20">
        <f>D33</f>
        <v>18171134.550000004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L160" sqref="L16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Berlin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2650.73</v>
      </c>
      <c r="E8" s="95">
        <f>'DOE25'!H9</f>
        <v>19156.59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2650.73</v>
      </c>
      <c r="E18" s="41">
        <f>SUM(E8:E17)</f>
        <v>19156.59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2650.73</v>
      </c>
      <c r="E47" s="95">
        <f>'DOE25'!H48</f>
        <v>19156.59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0</v>
      </c>
      <c r="D50" s="41">
        <f>SUM(D34:D49)</f>
        <v>2650.73</v>
      </c>
      <c r="E50" s="41">
        <f>SUM(E34:E49)</f>
        <v>19156.59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0</v>
      </c>
      <c r="D51" s="41">
        <f>D50+D31</f>
        <v>2650.73</v>
      </c>
      <c r="E51" s="41">
        <f>E50+E31</f>
        <v>19156.59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4513621.8600000003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1365060.75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213428.17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68887.739999999991</v>
      </c>
      <c r="D61" s="95">
        <f>SUM('DOE25'!G98:G110)</f>
        <v>0</v>
      </c>
      <c r="E61" s="95">
        <f>SUM('DOE25'!H98:H110)</f>
        <v>44300.01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1433948.49</v>
      </c>
      <c r="D62" s="130">
        <f>SUM(D57:D61)</f>
        <v>213428.17</v>
      </c>
      <c r="E62" s="130">
        <f>SUM(E57:E61)</f>
        <v>44300.01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5947570.3500000006</v>
      </c>
      <c r="D63" s="22">
        <f>D56+D62</f>
        <v>213428.17</v>
      </c>
      <c r="E63" s="22">
        <f>E56+E62</f>
        <v>44300.01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10334588.33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703225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11037813.33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171989.48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42369.24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70255.179999999993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9320.8799999999992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284613.90000000002</v>
      </c>
      <c r="D78" s="130">
        <f>SUM(D72:D77)</f>
        <v>9320.8799999999992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11322427.23</v>
      </c>
      <c r="D81" s="130">
        <f>SUM(D79:D80)+D78+D70</f>
        <v>9320.8799999999992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247662.4</v>
      </c>
      <c r="D88" s="95">
        <f>SUM('DOE25'!G153:G161)</f>
        <v>401402.05</v>
      </c>
      <c r="E88" s="95">
        <f>SUM('DOE25'!H153:H161)</f>
        <v>1371922.7400000002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28391.5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276053.90000000002</v>
      </c>
      <c r="D91" s="131">
        <f>SUM(D85:D90)</f>
        <v>401402.05</v>
      </c>
      <c r="E91" s="131">
        <f>SUM(E85:E90)</f>
        <v>1371922.7400000002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17546051.48</v>
      </c>
      <c r="D104" s="86">
        <f>D63+D81+D91+D103</f>
        <v>624151.1</v>
      </c>
      <c r="E104" s="86">
        <f>E63+E81+E91+E103</f>
        <v>1416222.7500000002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7750638.1899999995</v>
      </c>
      <c r="D109" s="24" t="s">
        <v>289</v>
      </c>
      <c r="E109" s="95">
        <f>('DOE25'!L276)+('DOE25'!L295)+('DOE25'!L314)</f>
        <v>183989.85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3275306.67</v>
      </c>
      <c r="D110" s="24" t="s">
        <v>289</v>
      </c>
      <c r="E110" s="95">
        <f>('DOE25'!L277)+('DOE25'!L296)+('DOE25'!L315)</f>
        <v>605486.13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678609.38</v>
      </c>
      <c r="D111" s="24" t="s">
        <v>289</v>
      </c>
      <c r="E111" s="95">
        <f>('DOE25'!L278)+('DOE25'!L297)+('DOE25'!L316)</f>
        <v>75536.53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357279.41000000003</v>
      </c>
      <c r="D112" s="24" t="s">
        <v>289</v>
      </c>
      <c r="E112" s="95">
        <f>+('DOE25'!L279)+('DOE25'!L298)+('DOE25'!L317)</f>
        <v>172094.68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12061833.65</v>
      </c>
      <c r="D115" s="86">
        <f>SUM(D109:D114)</f>
        <v>0</v>
      </c>
      <c r="E115" s="86">
        <f>SUM(E109:E114)</f>
        <v>1037107.19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1301451.4500000002</v>
      </c>
      <c r="D118" s="24" t="s">
        <v>289</v>
      </c>
      <c r="E118" s="95">
        <f>+('DOE25'!L281)+('DOE25'!L300)+('DOE25'!L319)</f>
        <v>313892.52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326656.60000000003</v>
      </c>
      <c r="D119" s="24" t="s">
        <v>289</v>
      </c>
      <c r="E119" s="95">
        <f>+('DOE25'!L282)+('DOE25'!L301)+('DOE25'!L320)</f>
        <v>42935.66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607575.78999999992</v>
      </c>
      <c r="D120" s="24" t="s">
        <v>289</v>
      </c>
      <c r="E120" s="95">
        <f>+('DOE25'!L283)+('DOE25'!L302)+('DOE25'!L321)</f>
        <v>33209.599999999999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848437.6100000001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241628.87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1744606.2599999998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410050.06</v>
      </c>
      <c r="D124" s="24" t="s">
        <v>289</v>
      </c>
      <c r="E124" s="95">
        <f>+('DOE25'!L287)+('DOE25'!L306)+('DOE25'!L325)</f>
        <v>474.09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3811.19</v>
      </c>
      <c r="D125" s="24" t="s">
        <v>289</v>
      </c>
      <c r="E125" s="95">
        <f>+('DOE25'!L288)+('DOE25'!L307)+('DOE25'!L326)</f>
        <v>9959.0700000000015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641304.88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5484217.8300000001</v>
      </c>
      <c r="D128" s="86">
        <f>SUM(D118:D127)</f>
        <v>641304.88</v>
      </c>
      <c r="E128" s="86">
        <f>SUM(E118:E127)</f>
        <v>400470.94000000006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5400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5400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17546051.48</v>
      </c>
      <c r="D145" s="86">
        <f>(D115+D128+D144)</f>
        <v>641304.88</v>
      </c>
      <c r="E145" s="86">
        <f>(E115+E128+E144)</f>
        <v>1442978.13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29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07/06</v>
      </c>
      <c r="C152" s="152" t="str">
        <f>'DOE25'!G491</f>
        <v>01/10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07/16</v>
      </c>
      <c r="C153" s="152" t="str">
        <f>'DOE25'!G492</f>
        <v>08/25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1713290</v>
      </c>
      <c r="C154" s="137">
        <f>'DOE25'!G493</f>
        <v>577185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4.3</v>
      </c>
      <c r="C155" s="137">
        <f>'DOE25'!G494</f>
        <v>2.85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579997.36</v>
      </c>
      <c r="C156" s="137">
        <f>'DOE25'!G495</f>
        <v>263556.93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843554.29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185105.4</v>
      </c>
      <c r="C158" s="137">
        <f>'DOE25'!G497</f>
        <v>16035.6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201141</v>
      </c>
    </row>
    <row r="159" spans="1:9" x14ac:dyDescent="0.2">
      <c r="A159" s="22" t="s">
        <v>35</v>
      </c>
      <c r="B159" s="137">
        <f>'DOE25'!F498</f>
        <v>394891.96</v>
      </c>
      <c r="C159" s="137">
        <f>'DOE25'!G498</f>
        <v>247521.33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642413.29</v>
      </c>
    </row>
    <row r="160" spans="1:9" x14ac:dyDescent="0.2">
      <c r="A160" s="22" t="s">
        <v>36</v>
      </c>
      <c r="B160" s="137">
        <f>'DOE25'!F499</f>
        <v>26133.18</v>
      </c>
      <c r="C160" s="137">
        <f>'DOE25'!G499</f>
        <v>72923.966000000015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99057.146000000008</v>
      </c>
    </row>
    <row r="161" spans="1:7" x14ac:dyDescent="0.2">
      <c r="A161" s="22" t="s">
        <v>37</v>
      </c>
      <c r="B161" s="137">
        <f>'DOE25'!F500</f>
        <v>421025.14</v>
      </c>
      <c r="C161" s="137">
        <f>'DOE25'!G500</f>
        <v>320445.29599999997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741470.43599999999</v>
      </c>
    </row>
    <row r="162" spans="1:7" x14ac:dyDescent="0.2">
      <c r="A162" s="22" t="s">
        <v>38</v>
      </c>
      <c r="B162" s="137">
        <f>'DOE25'!F501</f>
        <v>193214.07</v>
      </c>
      <c r="C162" s="137">
        <f>'DOE25'!G501</f>
        <v>16932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210146.07</v>
      </c>
    </row>
    <row r="163" spans="1:7" x14ac:dyDescent="0.2">
      <c r="A163" s="22" t="s">
        <v>39</v>
      </c>
      <c r="B163" s="137">
        <f>'DOE25'!F502</f>
        <v>17298.5</v>
      </c>
      <c r="C163" s="137">
        <f>'DOE25'!G502</f>
        <v>12167.970000000001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29466.47</v>
      </c>
    </row>
    <row r="164" spans="1:7" x14ac:dyDescent="0.2">
      <c r="A164" s="22" t="s">
        <v>246</v>
      </c>
      <c r="B164" s="137">
        <f>'DOE25'!F503</f>
        <v>210512.57</v>
      </c>
      <c r="C164" s="137">
        <f>'DOE25'!G503</f>
        <v>29099.97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239612.54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Berlin SD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15661</v>
      </c>
    </row>
    <row r="5" spans="1:4" x14ac:dyDescent="0.2">
      <c r="B5" t="s">
        <v>704</v>
      </c>
      <c r="C5" s="179">
        <f>IF('DOE25'!G665+'DOE25'!G670=0,0,ROUND('DOE25'!G672,0))</f>
        <v>14271</v>
      </c>
    </row>
    <row r="6" spans="1:4" x14ac:dyDescent="0.2">
      <c r="B6" t="s">
        <v>62</v>
      </c>
      <c r="C6" s="179">
        <f>IF('DOE25'!H665+'DOE25'!H670=0,0,ROUND('DOE25'!H672,0))</f>
        <v>15200</v>
      </c>
    </row>
    <row r="7" spans="1:4" x14ac:dyDescent="0.2">
      <c r="B7" t="s">
        <v>705</v>
      </c>
      <c r="C7" s="179">
        <f>IF('DOE25'!I665+'DOE25'!I670=0,0,ROUND('DOE25'!I672,0))</f>
        <v>15150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7934628</v>
      </c>
      <c r="D10" s="182">
        <f>ROUND((C10/$C$28)*100,1)</f>
        <v>40.9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3880793</v>
      </c>
      <c r="D11" s="182">
        <f>ROUND((C11/$C$28)*100,1)</f>
        <v>20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754146</v>
      </c>
      <c r="D12" s="182">
        <f>ROUND((C12/$C$28)*100,1)</f>
        <v>3.9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529374</v>
      </c>
      <c r="D13" s="182">
        <f>ROUND((C13/$C$28)*100,1)</f>
        <v>2.7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1615344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369592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654556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848438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241629</v>
      </c>
      <c r="D19" s="182">
        <f t="shared" si="0"/>
        <v>1.2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1744606</v>
      </c>
      <c r="D20" s="182">
        <f t="shared" si="0"/>
        <v>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410524</v>
      </c>
      <c r="D21" s="182">
        <f t="shared" si="0"/>
        <v>2.1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5400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427876.82999999996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19416906.829999998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19416906.829999998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4513622</v>
      </c>
      <c r="D35" s="182">
        <f t="shared" ref="D35:D40" si="1">ROUND((C35/$C$41)*100,1)</f>
        <v>23.3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1478248.3600000003</v>
      </c>
      <c r="D36" s="182">
        <f t="shared" si="1"/>
        <v>7.6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11037813</v>
      </c>
      <c r="D37" s="182">
        <f t="shared" si="1"/>
        <v>57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293935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2049379</v>
      </c>
      <c r="D39" s="182">
        <f t="shared" si="1"/>
        <v>10.6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19372997.359999999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9" sqref="C19:M1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Berlin SD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19</v>
      </c>
      <c r="B4" s="219">
        <v>3</v>
      </c>
      <c r="C4" s="285" t="s">
        <v>915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916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19</v>
      </c>
      <c r="B7" s="219">
        <v>3</v>
      </c>
      <c r="C7" s="285" t="s">
        <v>917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2015-10-16T13:02:00Z</cp:lastPrinted>
  <dcterms:created xsi:type="dcterms:W3CDTF">1997-12-04T19:04:30Z</dcterms:created>
  <dcterms:modified xsi:type="dcterms:W3CDTF">2015-11-25T15:20:00Z</dcterms:modified>
</cp:coreProperties>
</file>