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14" i="1" l="1"/>
  <c r="F22" i="1"/>
  <c r="F459" i="1"/>
  <c r="F440" i="1"/>
  <c r="F117" i="1" l="1"/>
  <c r="C38" i="12" l="1"/>
  <c r="B38" i="12"/>
  <c r="C20" i="12" l="1"/>
  <c r="C19" i="12"/>
  <c r="B20" i="12"/>
  <c r="B19" i="12"/>
  <c r="C21" i="12"/>
  <c r="B21" i="12"/>
  <c r="C10" i="12"/>
  <c r="B10" i="12"/>
  <c r="C11" i="12"/>
  <c r="B11" i="12"/>
  <c r="C12" i="12"/>
  <c r="B12" i="12"/>
  <c r="J591" i="1" l="1"/>
  <c r="I591" i="1"/>
  <c r="H591" i="1"/>
  <c r="J96" i="1"/>
  <c r="G12" i="1"/>
  <c r="G48" i="1"/>
  <c r="J604" i="1"/>
  <c r="I604" i="1"/>
  <c r="H604" i="1"/>
  <c r="J594" i="1"/>
  <c r="J593" i="1"/>
  <c r="J592" i="1"/>
  <c r="I592" i="1"/>
  <c r="H592" i="1"/>
  <c r="H582" i="1"/>
  <c r="G582" i="1"/>
  <c r="H579" i="1"/>
  <c r="J527" i="1"/>
  <c r="J526" i="1"/>
  <c r="I528" i="1"/>
  <c r="I527" i="1"/>
  <c r="I526" i="1"/>
  <c r="H528" i="1"/>
  <c r="H527" i="1"/>
  <c r="H526" i="1"/>
  <c r="G528" i="1"/>
  <c r="G527" i="1"/>
  <c r="G526" i="1"/>
  <c r="F528" i="1"/>
  <c r="F527" i="1"/>
  <c r="F526" i="1"/>
  <c r="K523" i="1"/>
  <c r="J523" i="1"/>
  <c r="I523" i="1"/>
  <c r="H523" i="1"/>
  <c r="G523" i="1"/>
  <c r="K522" i="1"/>
  <c r="J522" i="1"/>
  <c r="I522" i="1"/>
  <c r="H522" i="1"/>
  <c r="G522" i="1"/>
  <c r="K521" i="1"/>
  <c r="J521" i="1"/>
  <c r="I521" i="1"/>
  <c r="H521" i="1"/>
  <c r="G521" i="1"/>
  <c r="F523" i="1"/>
  <c r="F522" i="1"/>
  <c r="F521" i="1"/>
  <c r="I568" i="1"/>
  <c r="I567" i="1"/>
  <c r="F567" i="1"/>
  <c r="K557" i="1"/>
  <c r="H557" i="1"/>
  <c r="G557" i="1"/>
  <c r="F557" i="1"/>
  <c r="G502" i="1"/>
  <c r="G499" i="1"/>
  <c r="F502" i="1"/>
  <c r="F499" i="1"/>
  <c r="F498" i="1"/>
  <c r="H367" i="1"/>
  <c r="G367" i="1"/>
  <c r="F367" i="1"/>
  <c r="H23" i="1"/>
  <c r="F29" i="1"/>
  <c r="J465" i="1"/>
  <c r="H397" i="1"/>
  <c r="H388" i="1"/>
  <c r="I472" i="1" l="1"/>
  <c r="I468" i="1"/>
  <c r="G472" i="1"/>
  <c r="G468" i="1"/>
  <c r="G132" i="1"/>
  <c r="G97" i="1"/>
  <c r="H472" i="1"/>
  <c r="F277" i="1"/>
  <c r="K277" i="1"/>
  <c r="K315" i="1"/>
  <c r="K296" i="1"/>
  <c r="H320" i="1"/>
  <c r="F320" i="1"/>
  <c r="I277" i="1"/>
  <c r="G277" i="1"/>
  <c r="G315" i="1"/>
  <c r="G296" i="1"/>
  <c r="F315" i="1"/>
  <c r="F296" i="1"/>
  <c r="J315" i="1"/>
  <c r="J296" i="1"/>
  <c r="J277" i="1"/>
  <c r="I315" i="1"/>
  <c r="I296" i="1"/>
  <c r="H315" i="1"/>
  <c r="H296" i="1"/>
  <c r="H277" i="1"/>
  <c r="H159" i="1"/>
  <c r="H154" i="1"/>
  <c r="H155" i="1"/>
  <c r="H238" i="1"/>
  <c r="H220" i="1"/>
  <c r="H202" i="1"/>
  <c r="G244" i="1"/>
  <c r="G226" i="1"/>
  <c r="G208" i="1"/>
  <c r="J244" i="1"/>
  <c r="J226" i="1"/>
  <c r="J208" i="1"/>
  <c r="I244" i="1"/>
  <c r="I226" i="1"/>
  <c r="I208" i="1"/>
  <c r="H244" i="1"/>
  <c r="H226" i="1"/>
  <c r="H208" i="1"/>
  <c r="F244" i="1"/>
  <c r="F226" i="1"/>
  <c r="F208" i="1"/>
  <c r="K244" i="1"/>
  <c r="K226" i="1"/>
  <c r="K208" i="1"/>
  <c r="H243" i="1"/>
  <c r="H225" i="1"/>
  <c r="H207" i="1"/>
  <c r="G243" i="1"/>
  <c r="G225" i="1"/>
  <c r="G207" i="1"/>
  <c r="I243" i="1"/>
  <c r="I225" i="1"/>
  <c r="I207" i="1"/>
  <c r="F243" i="1"/>
  <c r="F225" i="1"/>
  <c r="F207" i="1"/>
  <c r="J243" i="1"/>
  <c r="J225" i="1"/>
  <c r="J207" i="1"/>
  <c r="F241" i="1"/>
  <c r="G241" i="1"/>
  <c r="K241" i="1"/>
  <c r="J241" i="1"/>
  <c r="I241" i="1"/>
  <c r="I223" i="1"/>
  <c r="I205" i="1"/>
  <c r="H241" i="1"/>
  <c r="H223" i="1"/>
  <c r="H205" i="1"/>
  <c r="F223" i="1"/>
  <c r="F205" i="1"/>
  <c r="G240" i="1"/>
  <c r="H240" i="1"/>
  <c r="H222" i="1"/>
  <c r="H204" i="1"/>
  <c r="G222" i="1"/>
  <c r="G204" i="1"/>
  <c r="F240" i="1"/>
  <c r="F222" i="1"/>
  <c r="F204" i="1"/>
  <c r="K240" i="1"/>
  <c r="K222" i="1"/>
  <c r="K204" i="1"/>
  <c r="I240" i="1"/>
  <c r="I222" i="1"/>
  <c r="I204" i="1"/>
  <c r="G239" i="1"/>
  <c r="I221" i="1"/>
  <c r="I203" i="1"/>
  <c r="H239" i="1"/>
  <c r="G221" i="1"/>
  <c r="G203" i="1"/>
  <c r="J239" i="1"/>
  <c r="J221" i="1"/>
  <c r="H221" i="1"/>
  <c r="J203" i="1"/>
  <c r="H203" i="1"/>
  <c r="F239" i="1"/>
  <c r="F221" i="1"/>
  <c r="F203" i="1"/>
  <c r="K239" i="1" l="1"/>
  <c r="I239" i="1"/>
  <c r="G220" i="1"/>
  <c r="G202" i="1"/>
  <c r="J220" i="1"/>
  <c r="J202" i="1"/>
  <c r="I220" i="1"/>
  <c r="F220" i="1"/>
  <c r="F202" i="1"/>
  <c r="G238" i="1"/>
  <c r="J238" i="1"/>
  <c r="I238" i="1"/>
  <c r="F238" i="1"/>
  <c r="K238" i="1"/>
  <c r="G236" i="1"/>
  <c r="F236" i="1"/>
  <c r="G218" i="1"/>
  <c r="F218" i="1"/>
  <c r="K236" i="1"/>
  <c r="J236" i="1"/>
  <c r="J218" i="1"/>
  <c r="I236" i="1"/>
  <c r="I218" i="1"/>
  <c r="I200" i="1"/>
  <c r="H236" i="1"/>
  <c r="H218" i="1"/>
  <c r="G200" i="1"/>
  <c r="K218" i="1"/>
  <c r="K200" i="1"/>
  <c r="F200" i="1"/>
  <c r="G216" i="1"/>
  <c r="G198" i="1"/>
  <c r="I216" i="1"/>
  <c r="I198" i="1"/>
  <c r="F216" i="1"/>
  <c r="F198" i="1"/>
  <c r="H234" i="1"/>
  <c r="H216" i="1"/>
  <c r="H198" i="1"/>
  <c r="F234" i="1"/>
  <c r="G234" i="1"/>
  <c r="J234" i="1" l="1"/>
  <c r="J216" i="1"/>
  <c r="J198" i="1"/>
  <c r="I234" i="1"/>
  <c r="G233" i="1" l="1"/>
  <c r="G215" i="1"/>
  <c r="G197" i="1"/>
  <c r="I233" i="1"/>
  <c r="I215" i="1"/>
  <c r="I197" i="1"/>
  <c r="H233" i="1"/>
  <c r="H215" i="1"/>
  <c r="H197" i="1"/>
  <c r="J233" i="1"/>
  <c r="J215" i="1"/>
  <c r="J197" i="1"/>
  <c r="F233" i="1"/>
  <c r="F215" i="1"/>
  <c r="F197" i="1"/>
  <c r="F110" i="1"/>
  <c r="F101" i="1"/>
  <c r="F98" i="1"/>
  <c r="F63" i="1"/>
  <c r="F69" i="1"/>
  <c r="F68" i="1"/>
  <c r="C45" i="2" l="1"/>
  <c r="G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D39" i="13"/>
  <c r="F13" i="13"/>
  <c r="G13" i="13"/>
  <c r="L206" i="1"/>
  <c r="L224" i="1"/>
  <c r="F16" i="13"/>
  <c r="G16" i="13"/>
  <c r="L209" i="1"/>
  <c r="L227" i="1"/>
  <c r="C125" i="2" s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L205" i="1"/>
  <c r="L223" i="1"/>
  <c r="F14" i="13"/>
  <c r="G14" i="13"/>
  <c r="L207" i="1"/>
  <c r="L225" i="1"/>
  <c r="F15" i="13"/>
  <c r="G15" i="13"/>
  <c r="L208" i="1"/>
  <c r="L226" i="1"/>
  <c r="G662" i="1" s="1"/>
  <c r="L244" i="1"/>
  <c r="F17" i="13"/>
  <c r="G17" i="13"/>
  <c r="L251" i="1"/>
  <c r="F18" i="13"/>
  <c r="G18" i="13"/>
  <c r="F19" i="13"/>
  <c r="G19" i="13"/>
  <c r="L253" i="1"/>
  <c r="D19" i="13" s="1"/>
  <c r="C19" i="13" s="1"/>
  <c r="F29" i="13"/>
  <c r="L358" i="1"/>
  <c r="L360" i="1"/>
  <c r="I367" i="1"/>
  <c r="J290" i="1"/>
  <c r="J309" i="1"/>
  <c r="J328" i="1"/>
  <c r="K309" i="1"/>
  <c r="K328" i="1"/>
  <c r="L276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56" i="2" s="1"/>
  <c r="F79" i="1"/>
  <c r="C57" i="2" s="1"/>
  <c r="F94" i="1"/>
  <c r="F111" i="1"/>
  <c r="G111" i="1"/>
  <c r="H79" i="1"/>
  <c r="E57" i="2" s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40" i="1" s="1"/>
  <c r="J136" i="1"/>
  <c r="F147" i="1"/>
  <c r="C85" i="2" s="1"/>
  <c r="F162" i="1"/>
  <c r="G147" i="1"/>
  <c r="G162" i="1"/>
  <c r="H147" i="1"/>
  <c r="E85" i="2" s="1"/>
  <c r="H162" i="1"/>
  <c r="I147" i="1"/>
  <c r="I169" i="1" s="1"/>
  <c r="I162" i="1"/>
  <c r="L250" i="1"/>
  <c r="L332" i="1"/>
  <c r="L268" i="1"/>
  <c r="L269" i="1"/>
  <c r="C143" i="2" s="1"/>
  <c r="L349" i="1"/>
  <c r="L350" i="1"/>
  <c r="I665" i="1"/>
  <c r="I670" i="1"/>
  <c r="I669" i="1"/>
  <c r="C42" i="10"/>
  <c r="C32" i="10"/>
  <c r="L374" i="1"/>
  <c r="L375" i="1"/>
  <c r="L376" i="1"/>
  <c r="F130" i="2" s="1"/>
  <c r="L377" i="1"/>
  <c r="L378" i="1"/>
  <c r="L379" i="1"/>
  <c r="L380" i="1"/>
  <c r="B2" i="10"/>
  <c r="L344" i="1"/>
  <c r="E134" i="2" s="1"/>
  <c r="L345" i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E56" i="2"/>
  <c r="C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F77" i="2"/>
  <c r="G77" i="2"/>
  <c r="G78" i="2" s="1"/>
  <c r="C79" i="2"/>
  <c r="D79" i="2"/>
  <c r="E79" i="2"/>
  <c r="C80" i="2"/>
  <c r="E80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D115" i="2"/>
  <c r="F115" i="2"/>
  <c r="G115" i="2"/>
  <c r="E119" i="2"/>
  <c r="E120" i="2"/>
  <c r="E123" i="2"/>
  <c r="E124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J247" i="1"/>
  <c r="F256" i="1"/>
  <c r="G256" i="1"/>
  <c r="H256" i="1"/>
  <c r="J256" i="1"/>
  <c r="K256" i="1"/>
  <c r="F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G408" i="1" s="1"/>
  <c r="H645" i="1" s="1"/>
  <c r="H393" i="1"/>
  <c r="I393" i="1"/>
  <c r="F401" i="1"/>
  <c r="G401" i="1"/>
  <c r="H401" i="1"/>
  <c r="I401" i="1"/>
  <c r="F407" i="1"/>
  <c r="G407" i="1"/>
  <c r="H407" i="1"/>
  <c r="I407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F460" i="1"/>
  <c r="F461" i="1" s="1"/>
  <c r="H639" i="1" s="1"/>
  <c r="G460" i="1"/>
  <c r="H460" i="1"/>
  <c r="H461" i="1" s="1"/>
  <c r="H641" i="1" s="1"/>
  <c r="G470" i="1"/>
  <c r="I470" i="1"/>
  <c r="G474" i="1"/>
  <c r="H474" i="1"/>
  <c r="I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L570" i="1" s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3" i="1"/>
  <c r="G624" i="1"/>
  <c r="H628" i="1"/>
  <c r="H630" i="1"/>
  <c r="H633" i="1"/>
  <c r="H635" i="1"/>
  <c r="H636" i="1"/>
  <c r="G640" i="1"/>
  <c r="G641" i="1"/>
  <c r="G643" i="1"/>
  <c r="G644" i="1"/>
  <c r="G645" i="1"/>
  <c r="G652" i="1"/>
  <c r="H652" i="1"/>
  <c r="G653" i="1"/>
  <c r="H653" i="1"/>
  <c r="G654" i="1"/>
  <c r="H654" i="1"/>
  <c r="H655" i="1"/>
  <c r="F192" i="1"/>
  <c r="D50" i="2"/>
  <c r="K605" i="1"/>
  <c r="G648" i="1" s="1"/>
  <c r="G22" i="2"/>
  <c r="J552" i="1"/>
  <c r="G36" i="2"/>
  <c r="H545" i="1"/>
  <c r="H552" i="1" l="1"/>
  <c r="K598" i="1"/>
  <c r="G647" i="1" s="1"/>
  <c r="K545" i="1"/>
  <c r="G545" i="1"/>
  <c r="I545" i="1"/>
  <c r="L534" i="1"/>
  <c r="J545" i="1"/>
  <c r="F552" i="1"/>
  <c r="K549" i="1"/>
  <c r="L565" i="1"/>
  <c r="H571" i="1"/>
  <c r="I571" i="1"/>
  <c r="L560" i="1"/>
  <c r="L571" i="1" s="1"/>
  <c r="F571" i="1"/>
  <c r="G164" i="2"/>
  <c r="K500" i="1"/>
  <c r="G156" i="2"/>
  <c r="G157" i="2"/>
  <c r="I476" i="1"/>
  <c r="H625" i="1" s="1"/>
  <c r="J634" i="1"/>
  <c r="J645" i="1"/>
  <c r="G81" i="2"/>
  <c r="H52" i="1"/>
  <c r="H619" i="1" s="1"/>
  <c r="D18" i="2"/>
  <c r="D31" i="2"/>
  <c r="E31" i="2"/>
  <c r="C18" i="2"/>
  <c r="I460" i="1"/>
  <c r="G461" i="1"/>
  <c r="H640" i="1" s="1"/>
  <c r="J641" i="1"/>
  <c r="I452" i="1"/>
  <c r="J640" i="1"/>
  <c r="I446" i="1"/>
  <c r="G642" i="1" s="1"/>
  <c r="J639" i="1"/>
  <c r="L433" i="1"/>
  <c r="L427" i="1"/>
  <c r="F408" i="1"/>
  <c r="H643" i="1" s="1"/>
  <c r="H408" i="1"/>
  <c r="H644" i="1" s="1"/>
  <c r="J644" i="1" s="1"/>
  <c r="I408" i="1"/>
  <c r="L401" i="1"/>
  <c r="C139" i="2" s="1"/>
  <c r="J643" i="1"/>
  <c r="L393" i="1"/>
  <c r="C138" i="2" s="1"/>
  <c r="F78" i="2"/>
  <c r="E62" i="2"/>
  <c r="H112" i="1"/>
  <c r="E63" i="2"/>
  <c r="F81" i="2"/>
  <c r="G476" i="1"/>
  <c r="H623" i="1" s="1"/>
  <c r="J623" i="1" s="1"/>
  <c r="D91" i="2"/>
  <c r="D81" i="2"/>
  <c r="D62" i="2"/>
  <c r="D63" i="2" s="1"/>
  <c r="G112" i="1"/>
  <c r="C26" i="10"/>
  <c r="F22" i="13"/>
  <c r="C22" i="13" s="1"/>
  <c r="H662" i="1"/>
  <c r="E122" i="2"/>
  <c r="E125" i="2"/>
  <c r="E121" i="2"/>
  <c r="E118" i="2"/>
  <c r="E109" i="2"/>
  <c r="L328" i="1"/>
  <c r="F338" i="1"/>
  <c r="F352" i="1" s="1"/>
  <c r="L309" i="1"/>
  <c r="E103" i="2"/>
  <c r="H169" i="1"/>
  <c r="D17" i="13"/>
  <c r="C17" i="13" s="1"/>
  <c r="E16" i="13"/>
  <c r="C16" i="13" s="1"/>
  <c r="L278" i="1"/>
  <c r="L270" i="1"/>
  <c r="J655" i="1"/>
  <c r="G650" i="1"/>
  <c r="C16" i="10"/>
  <c r="D7" i="13"/>
  <c r="C7" i="13" s="1"/>
  <c r="C119" i="2"/>
  <c r="C15" i="10"/>
  <c r="L240" i="1"/>
  <c r="E8" i="13" s="1"/>
  <c r="C8" i="13" s="1"/>
  <c r="C112" i="2"/>
  <c r="A40" i="12"/>
  <c r="G651" i="1"/>
  <c r="J651" i="1" s="1"/>
  <c r="C21" i="10"/>
  <c r="C110" i="2"/>
  <c r="F257" i="1"/>
  <c r="F271" i="1" s="1"/>
  <c r="L211" i="1"/>
  <c r="H257" i="1"/>
  <c r="H271" i="1" s="1"/>
  <c r="G257" i="1"/>
  <c r="G271" i="1" s="1"/>
  <c r="A13" i="12"/>
  <c r="D5" i="13"/>
  <c r="C5" i="13" s="1"/>
  <c r="J257" i="1"/>
  <c r="J271" i="1" s="1"/>
  <c r="C109" i="2"/>
  <c r="L229" i="1"/>
  <c r="C78" i="2"/>
  <c r="C70" i="2"/>
  <c r="C81" i="2" s="1"/>
  <c r="C91" i="2"/>
  <c r="F112" i="1"/>
  <c r="L539" i="1"/>
  <c r="K503" i="1"/>
  <c r="L382" i="1"/>
  <c r="G636" i="1" s="1"/>
  <c r="J636" i="1" s="1"/>
  <c r="C62" i="2"/>
  <c r="C10" i="10"/>
  <c r="C35" i="10"/>
  <c r="C29" i="10"/>
  <c r="D6" i="13"/>
  <c r="C6" i="13" s="1"/>
  <c r="D15" i="13"/>
  <c r="C15" i="13" s="1"/>
  <c r="G649" i="1"/>
  <c r="J649" i="1" s="1"/>
  <c r="L544" i="1"/>
  <c r="L524" i="1"/>
  <c r="J338" i="1"/>
  <c r="J352" i="1" s="1"/>
  <c r="C120" i="2"/>
  <c r="C118" i="2"/>
  <c r="C111" i="2"/>
  <c r="C56" i="2"/>
  <c r="F662" i="1"/>
  <c r="I662" i="1" s="1"/>
  <c r="K551" i="1"/>
  <c r="H25" i="13"/>
  <c r="F169" i="1"/>
  <c r="E81" i="2"/>
  <c r="L351" i="1"/>
  <c r="H647" i="1"/>
  <c r="G625" i="1"/>
  <c r="J625" i="1" s="1"/>
  <c r="L61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F31" i="2"/>
  <c r="C31" i="2"/>
  <c r="E18" i="2"/>
  <c r="E144" i="2"/>
  <c r="F50" i="2"/>
  <c r="I338" i="1"/>
  <c r="I352" i="1" s="1"/>
  <c r="J650" i="1"/>
  <c r="L407" i="1"/>
  <c r="C140" i="2" s="1"/>
  <c r="C141" i="2" s="1"/>
  <c r="C144" i="2" s="1"/>
  <c r="I192" i="1"/>
  <c r="E91" i="2"/>
  <c r="L408" i="1"/>
  <c r="D51" i="2"/>
  <c r="J654" i="1"/>
  <c r="J653" i="1"/>
  <c r="F144" i="2"/>
  <c r="F145" i="2" s="1"/>
  <c r="G21" i="2"/>
  <c r="G31" i="2" s="1"/>
  <c r="J32" i="1"/>
  <c r="L434" i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169" i="1"/>
  <c r="G140" i="1"/>
  <c r="F140" i="1"/>
  <c r="G63" i="2"/>
  <c r="J618" i="1"/>
  <c r="G42" i="2"/>
  <c r="G50" i="2" s="1"/>
  <c r="G51" i="2" s="1"/>
  <c r="J51" i="1"/>
  <c r="G16" i="2"/>
  <c r="J19" i="1"/>
  <c r="G621" i="1" s="1"/>
  <c r="G18" i="2"/>
  <c r="H434" i="1"/>
  <c r="J620" i="1"/>
  <c r="J619" i="1"/>
  <c r="D103" i="2"/>
  <c r="I140" i="1"/>
  <c r="A22" i="12"/>
  <c r="J652" i="1"/>
  <c r="G571" i="1"/>
  <c r="I434" i="1"/>
  <c r="G434" i="1"/>
  <c r="I663" i="1"/>
  <c r="I461" i="1" l="1"/>
  <c r="H642" i="1" s="1"/>
  <c r="J642" i="1" s="1"/>
  <c r="J647" i="1"/>
  <c r="G104" i="2"/>
  <c r="E51" i="2"/>
  <c r="F51" i="2"/>
  <c r="G638" i="1"/>
  <c r="J472" i="1"/>
  <c r="G637" i="1"/>
  <c r="J468" i="1"/>
  <c r="H646" i="1"/>
  <c r="J646" i="1" s="1"/>
  <c r="I193" i="1"/>
  <c r="G630" i="1" s="1"/>
  <c r="J630" i="1" s="1"/>
  <c r="G629" i="1"/>
  <c r="H468" i="1"/>
  <c r="F104" i="2"/>
  <c r="D104" i="2"/>
  <c r="E128" i="2"/>
  <c r="E104" i="2"/>
  <c r="E111" i="2"/>
  <c r="C12" i="10"/>
  <c r="C27" i="12"/>
  <c r="A31" i="12" s="1"/>
  <c r="G290" i="1"/>
  <c r="G338" i="1" s="1"/>
  <c r="G352" i="1" s="1"/>
  <c r="L242" i="1"/>
  <c r="C122" i="2" s="1"/>
  <c r="C17" i="10"/>
  <c r="H648" i="1"/>
  <c r="J648" i="1" s="1"/>
  <c r="G12" i="13"/>
  <c r="K247" i="1"/>
  <c r="K257" i="1" s="1"/>
  <c r="K271" i="1" s="1"/>
  <c r="L241" i="1"/>
  <c r="C39" i="10"/>
  <c r="C36" i="10"/>
  <c r="F193" i="1"/>
  <c r="C25" i="13"/>
  <c r="H33" i="13"/>
  <c r="C63" i="2"/>
  <c r="C104" i="2" s="1"/>
  <c r="G631" i="1"/>
  <c r="G193" i="1"/>
  <c r="G628" i="1" s="1"/>
  <c r="J628" i="1" s="1"/>
  <c r="G626" i="1"/>
  <c r="J52" i="1"/>
  <c r="H621" i="1" s="1"/>
  <c r="J621" i="1" s="1"/>
  <c r="C38" i="10"/>
  <c r="G627" i="1" l="1"/>
  <c r="F468" i="1"/>
  <c r="J474" i="1"/>
  <c r="H638" i="1"/>
  <c r="J638" i="1"/>
  <c r="H637" i="1"/>
  <c r="J637" i="1" s="1"/>
  <c r="J470" i="1"/>
  <c r="J476" i="1" s="1"/>
  <c r="H626" i="1" s="1"/>
  <c r="J626" i="1" s="1"/>
  <c r="H631" i="1"/>
  <c r="J631" i="1" s="1"/>
  <c r="H470" i="1"/>
  <c r="H476" i="1" s="1"/>
  <c r="H624" i="1" s="1"/>
  <c r="J624" i="1" s="1"/>
  <c r="H629" i="1"/>
  <c r="J629" i="1" s="1"/>
  <c r="L279" i="1"/>
  <c r="H290" i="1"/>
  <c r="H338" i="1" s="1"/>
  <c r="H352" i="1" s="1"/>
  <c r="L243" i="1"/>
  <c r="I247" i="1"/>
  <c r="E13" i="13"/>
  <c r="C19" i="10"/>
  <c r="C121" i="2"/>
  <c r="D12" i="13"/>
  <c r="C18" i="10"/>
  <c r="C41" i="10"/>
  <c r="D38" i="10" s="1"/>
  <c r="F470" i="1" l="1"/>
  <c r="H627" i="1"/>
  <c r="J627" i="1" s="1"/>
  <c r="E112" i="2"/>
  <c r="C13" i="10"/>
  <c r="L252" i="1"/>
  <c r="C20" i="10"/>
  <c r="C123" i="2"/>
  <c r="D14" i="13"/>
  <c r="C14" i="13" s="1"/>
  <c r="L247" i="1"/>
  <c r="H660" i="1" s="1"/>
  <c r="C13" i="13"/>
  <c r="E33" i="13"/>
  <c r="D35" i="13" s="1"/>
  <c r="C12" i="13"/>
  <c r="D37" i="10"/>
  <c r="D36" i="10"/>
  <c r="D35" i="10"/>
  <c r="D40" i="10"/>
  <c r="D39" i="10"/>
  <c r="D18" i="13" l="1"/>
  <c r="C18" i="13" s="1"/>
  <c r="C114" i="2"/>
  <c r="C115" i="2" s="1"/>
  <c r="L254" i="1"/>
  <c r="C124" i="2" s="1"/>
  <c r="C128" i="2" s="1"/>
  <c r="I256" i="1"/>
  <c r="D41" i="10"/>
  <c r="C145" i="2" l="1"/>
  <c r="L256" i="1"/>
  <c r="L257" i="1" s="1"/>
  <c r="L271" i="1" s="1"/>
  <c r="F472" i="1" s="1"/>
  <c r="I257" i="1"/>
  <c r="I271" i="1" s="1"/>
  <c r="C24" i="10"/>
  <c r="F474" i="1" l="1"/>
  <c r="F476" i="1" s="1"/>
  <c r="H632" i="1"/>
  <c r="G632" i="1"/>
  <c r="J632" i="1" s="1"/>
  <c r="H622" i="1" l="1"/>
  <c r="K290" i="1"/>
  <c r="L277" i="1"/>
  <c r="F51" i="1" l="1"/>
  <c r="C49" i="2"/>
  <c r="C50" i="2" s="1"/>
  <c r="C51" i="2" s="1"/>
  <c r="E110" i="2"/>
  <c r="E115" i="2" s="1"/>
  <c r="E145" i="2" s="1"/>
  <c r="C11" i="10"/>
  <c r="L290" i="1"/>
  <c r="K338" i="1"/>
  <c r="K352" i="1" s="1"/>
  <c r="G31" i="13"/>
  <c r="G622" i="1" l="1"/>
  <c r="J622" i="1" s="1"/>
  <c r="F52" i="1"/>
  <c r="H617" i="1" s="1"/>
  <c r="J617" i="1" s="1"/>
  <c r="L338" i="1"/>
  <c r="L352" i="1" s="1"/>
  <c r="F660" i="1"/>
  <c r="D31" i="13"/>
  <c r="G633" i="1" l="1"/>
  <c r="J633" i="1" s="1"/>
  <c r="C31" i="13"/>
  <c r="L359" i="1" l="1"/>
  <c r="G29" i="13"/>
  <c r="G33" i="13" s="1"/>
  <c r="K362" i="1"/>
  <c r="D127" i="2" l="1"/>
  <c r="D128" i="2" s="1"/>
  <c r="D145" i="2" s="1"/>
  <c r="G661" i="1"/>
  <c r="D29" i="13"/>
  <c r="L362" i="1"/>
  <c r="H661" i="1"/>
  <c r="H664" i="1" s="1"/>
  <c r="F661" i="1"/>
  <c r="G660" i="1"/>
  <c r="G635" i="1" l="1"/>
  <c r="C27" i="10"/>
  <c r="C29" i="13"/>
  <c r="D33" i="13"/>
  <c r="D36" i="13" s="1"/>
  <c r="G664" i="1"/>
  <c r="I660" i="1"/>
  <c r="I661" i="1"/>
  <c r="F664" i="1"/>
  <c r="H672" i="1"/>
  <c r="C6" i="10" s="1"/>
  <c r="H667" i="1"/>
  <c r="G672" i="1" l="1"/>
  <c r="C5" i="10" s="1"/>
  <c r="G667" i="1"/>
  <c r="J635" i="1"/>
  <c r="H656" i="1"/>
  <c r="F667" i="1"/>
  <c r="F672" i="1"/>
  <c r="C4" i="10" s="1"/>
  <c r="I664" i="1"/>
  <c r="C28" i="10"/>
  <c r="D27" i="10" s="1"/>
  <c r="D11" i="10" l="1"/>
  <c r="D12" i="10"/>
  <c r="D22" i="10"/>
  <c r="C30" i="10"/>
  <c r="D24" i="10"/>
  <c r="D18" i="10"/>
  <c r="D17" i="10"/>
  <c r="D19" i="10"/>
  <c r="D13" i="10"/>
  <c r="D10" i="10"/>
  <c r="D16" i="10"/>
  <c r="D15" i="10"/>
  <c r="D21" i="10"/>
  <c r="D25" i="10"/>
  <c r="D20" i="10"/>
  <c r="D23" i="10"/>
  <c r="D26" i="10"/>
  <c r="I667" i="1"/>
  <c r="I672" i="1"/>
  <c r="C7" i="10" s="1"/>
  <c r="D28" i="10" l="1"/>
  <c r="L527" i="1"/>
  <c r="L529" i="1" s="1"/>
  <c r="L545" i="1" s="1"/>
  <c r="F529" i="1"/>
  <c r="F545" i="1" s="1"/>
  <c r="G550" i="1" l="1"/>
  <c r="G552" i="1" l="1"/>
  <c r="K550" i="1"/>
  <c r="K552" i="1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<sst xmlns="http://schemas.openxmlformats.org/spreadsheetml/2006/main" count="3958" uniqueCount="916">
  <si>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</si>
  <si>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</si>
  <si>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</si>
  <si>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</si>
  <si>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</si>
  <si>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</si>
  <si>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</si>
  <si>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</si>
  <si>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</si>
  <si>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</si>
  <si>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</si>
  <si>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</si>
  <si>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</si>
  <si>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</si>
  <si>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</si>
  <si>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</si>
  <si>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</si>
  <si>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</si>
  <si>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</si>
  <si>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</si>
  <si>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</si>
  <si>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</si>
  <si>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</si>
  <si>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</si>
  <si>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</si>
  <si>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</si>
  <si>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</si>
  <si>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</si>
  <si>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</si>
  <si>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</si>
  <si>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</si>
  <si>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</si>
  <si>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</si>
  <si>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</si>
  <si>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</si>
  <si>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</si>
  <si>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</si>
  <si>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</si>
  <si>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</si>
  <si>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</si>
  <si>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</si>
  <si>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</si>
  <si>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</si>
  <si>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</si>
  <si>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</si>
  <si>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</si>
  <si>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</si>
  <si>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</si>
  <si>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</si>
  <si>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</si>
  <si>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</si>
  <si>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</si>
  <si>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</si>
  <si>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</si>
  <si>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</si>
  <si>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</si>
  <si>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</si>
  <si>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</si>
  <si>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</si>
  <si>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</si>
  <si>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</si>
  <si>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</si>
  <si>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</si>
  <si>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</si>
  <si>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</si>
  <si>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</si>
  <si>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</si>
  <si>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</si>
  <si>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</si>
  <si>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</si>
  <si>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</si>
  <si>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</si>
  <si>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</si>
  <si>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</si>
  <si>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</si>
  <si>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</si>
  <si>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</si>
  <si>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</si>
  <si>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</si>
  <si>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</si>
  <si>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</si>
  <si>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</si>
  <si>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</si>
  <si>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</si>
  <si>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</si>
  <si>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</si>
  <si>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</si>
  <si>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</si>
  <si>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</si>
  <si>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</si>
  <si>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</si>
  <si>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</si>
  <si>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</si>
  <si>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</si>
  <si>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</si>
  <si>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</si>
  <si>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</si>
  <si>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</si>
  <si>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</si>
  <si>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</si>
  <si>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</si>
  <si>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</si>
  <si>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</si>
  <si>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</si>
  <si>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</si>
  <si>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</si>
  <si>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</si>
  <si>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</si>
  <si>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</si>
  <si>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</si>
  <si>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</si>
  <si>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</si>
  <si>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</si>
  <si>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</si>
  <si>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</si>
  <si>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</si>
  <si>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</si>
  <si>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</si>
  <si>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</si>
  <si>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</si>
  <si>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</si>
  <si>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</si>
  <si>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</si>
  <si>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</si>
  <si>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</si>
  <si>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</si>
  <si>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</si>
  <si>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</si>
  <si>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</si>
  <si>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</si>
  <si>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</si>
  <si>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</si>
  <si>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</si>
  <si>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</si>
  <si>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</si>
  <si>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</si>
  <si>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</si>
  <si>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</si>
  <si>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</si>
  <si>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</si>
  <si>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</si>
  <si>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</si>
  <si>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</si>
  <si>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</si>
  <si>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</si>
  <si>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</si>
  <si>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</si>
  <si>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</si>
  <si>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</si>
  <si>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</si>
  <si>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</si>
  <si>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</si>
  <si>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</si>
  <si>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</si>
  <si>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</si>
  <si>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</si>
  <si>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</si>
  <si>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</si>
  <si>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</si>
  <si>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</si>
  <si>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</si>
  <si>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</si>
  <si>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</si>
  <si>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</si>
  <si>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</si>
  <si>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</si>
  <si>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</si>
  <si>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</si>
  <si>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</si>
  <si>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</si>
  <si>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</si>
  <si>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</si>
  <si>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</si>
  <si>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</si>
  <si>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</si>
  <si>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</si>
  <si>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</si>
  <si>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</si>
  <si>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</si>
  <si>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</si>
  <si>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</si>
  <si>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</si>
  <si>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</si>
  <si>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</si>
  <si>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</si>
  <si>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</si>
  <si>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</si>
  <si>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</si>
  <si>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</si>
  <si>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</si>
  <si>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</si>
  <si>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</si>
  <si>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</si>
  <si>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</si>
  <si>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</si>
  <si>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</si>
  <si>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</si>
  <si>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</si>
  <si>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</si>
  <si>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</si>
  <si>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</si>
  <si>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</si>
  <si>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</si>
  <si>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</si>
  <si>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</si>
  <si>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</si>
  <si>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</si>
  <si>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</si>
  <si>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</si>
  <si>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</si>
  <si>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</si>
  <si>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</si>
  <si>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</si>
  <si>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</si>
  <si>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</si>
  <si>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</si>
  <si>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</si>
  <si>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</si>
  <si>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</si>
  <si>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</si>
  <si>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</si>
  <si>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</si>
  <si>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</si>
  <si>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</si>
  <si>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</si>
  <si>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</si>
  <si>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</si>
  <si>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</si>
  <si>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</si>
  <si>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</si>
  <si>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</si>
  <si>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</si>
  <si>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</si>
  <si>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</si>
  <si>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</si>
  <si>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</si>
  <si>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</si>
  <si>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</si>
  <si>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</si>
  <si>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</si>
  <si>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</si>
  <si>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</si>
  <si>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</si>
  <si>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</si>
  <si>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</si>
  <si>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</si>
  <si>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</si>
  <si>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</si>
  <si>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</si>
  <si>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</si>
  <si>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</si>
  <si>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</si>
  <si>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</si>
  <si>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</si>
  <si>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</si>
  <si>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</si>
  <si>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</si>
  <si>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</si>
  <si>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</si>
  <si>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</si>
  <si>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</si>
  <si>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</si>
  <si>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</si>
  <si>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</si>
  <si>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</si>
  <si>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</si>
  <si>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</si>
  <si>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</si>
  <si>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</si>
  <si>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</si>
  <si>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</si>
  <si>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</si>
  <si>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</si>
  <si>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</si>
  <si>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</si>
  <si>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</si>
  <si>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</si>
  <si>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</si>
  <si>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</si>
  <si>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</si>
  <si>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</si>
  <si>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</si>
  <si>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</si>
  <si>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</si>
  <si>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</si>
  <si>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</si>
  <si>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</si>
  <si>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</si>
  <si>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</si>
  <si>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</si>
  <si>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</si>
  <si>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</si>
  <si>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</si>
  <si>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</si>
  <si>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</si>
  <si>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</si>
  <si>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</si>
  <si>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</si>
  <si>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</si>
  <si>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</si>
  <si>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</si>
  <si>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</si>
  <si>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</si>
  <si>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</si>
  <si>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</si>
  <si>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</si>
  <si>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</si>
  <si>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</si>
  <si>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</si>
  <si>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</si>
  <si>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</si>
  <si>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</si>
  <si>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</si>
  <si>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</si>
  <si>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</si>
  <si>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</si>
  <si>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</si>
  <si>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</si>
  <si>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</si>
  <si>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</si>
  <si>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</si>
  <si>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</si>
  <si>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</si>
  <si>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</si>
  <si>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</si>
  <si>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</si>
  <si>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</si>
  <si>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</si>
  <si>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</si>
  <si>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</si>
  <si>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</si>
  <si>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</si>
  <si>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</si>
  <si>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</si>
  <si>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</si>
  <si>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</si>
  <si>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</si>
  <si>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</si>
  <si>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</si>
  <si>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</si>
  <si>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</si>
  <si>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</si>
  <si>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</si>
  <si>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</si>
  <si>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</si>
  <si>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</si>
  <si>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</si>
  <si>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</si>
  <si>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</si>
  <si>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</si>
  <si>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</si>
  <si>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</si>
  <si>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</si>
  <si>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</si>
  <si>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</si>
  <si>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</si>
  <si>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</si>
  <si>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</si>
  <si>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</si>
  <si>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</si>
  <si>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</si>
  <si>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</si>
  <si>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</si>
  <si>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</si>
  <si>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</si>
  <si>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</si>
  <si>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</si>
  <si>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</si>
  <si>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</si>
  <si>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</si>
  <si>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</si>
  <si>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</si>
  <si>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</si>
  <si>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</si>
  <si>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</si>
  <si>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</si>
  <si>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</si>
  <si>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</si>
  <si>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</si>
  <si>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</si>
  <si>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</si>
  <si>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</si>
  <si>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</si>
  <si>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</si>
  <si>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</si>
  <si>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</si>
  <si>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</si>
  <si>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</si>
  <si>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</si>
  <si>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</si>
  <si>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</si>
  <si>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</si>
  <si>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</si>
  <si>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</si>
  <si>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</si>
  <si>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</si>
  <si>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</si>
  <si>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</si>
  <si>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</si>
  <si>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</si>
  <si>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</si>
  <si>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</si>
  <si>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</si>
  <si>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</si>
  <si>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</si>
  <si>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</si>
  <si>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</si>
  <si>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</si>
  <si>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</si>
  <si>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</si>
  <si>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</si>
  <si>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</si>
  <si>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</si>
  <si>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</si>
  <si>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</si>
  <si>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</si>
  <si>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</si>
  <si>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</si>
  <si>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</si>
  <si>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</si>
  <si>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</si>
  <si>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</si>
  <si>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</si>
  <si>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</si>
  <si>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</si>
  <si>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</si>
  <si>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</si>
  <si>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</si>
  <si>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</si>
  <si>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</si>
  <si>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</si>
  <si>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</si>
  <si>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</si>
  <si>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</si>
  <si>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</si>
  <si>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</si>
  <si>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</si>
  <si>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</si>
  <si>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</si>
  <si>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</si>
  <si>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</si>
  <si>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</si>
  <si>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</si>
  <si>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</si>
  <si>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</si>
  <si>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</si>
  <si>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</si>
  <si>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</si>
  <si>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</si>
  <si>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</si>
  <si>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</si>
  <si>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</si>
  <si>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</si>
  <si>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</si>
  <si>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</si>
  <si>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</si>
  <si>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</si>
  <si>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</si>
  <si>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</si>
  <si>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</si>
  <si>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</si>
  <si>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</si>
  <si>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</si>
  <si>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</si>
  <si>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</si>
  <si>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</si>
  <si>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</si>
  <si>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</si>
  <si>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</si>
  <si>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</si>
  <si>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</si>
  <si>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</si>
  <si>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</si>
  <si>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</si>
  <si>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</si>
  <si>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</si>
  <si>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</si>
  <si>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</si>
  <si>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</si>
  <si>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</si>
  <si>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</si>
  <si>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</si>
  <si>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</si>
  <si>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</si>
  <si>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</si>
  <si>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</si>
  <si>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</si>
  <si>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</si>
  <si>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</si>
  <si>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</si>
  <si>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</si>
  <si>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</si>
  <si>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</si>
  <si>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</si>
  <si>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</si>
  <si>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</si>
  <si>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</si>
  <si>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</si>
  <si>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</si>
  <si>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</si>
  <si>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</si>
  <si>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</si>
  <si>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</si>
  <si>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</si>
  <si>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</si>
  <si>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</si>
  <si>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</si>
  <si>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</si>
  <si>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</si>
  <si>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</si>
  <si>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</si>
  <si>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</si>
  <si>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</si>
  <si>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</si>
  <si>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</si>
  <si>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</si>
  <si>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</si>
  <si>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</si>
  <si>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</si>
  <si>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</si>
  <si>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</si>
  <si>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</si>
  <si>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</si>
  <si>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</si>
  <si>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</si>
  <si>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</si>
  <si>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</si>
  <si>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</si>
  <si>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</si>
  <si>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</si>
  <si>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</si>
  <si>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</si>
  <si>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</si>
  <si>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</si>
  <si>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</si>
  <si>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</si>
  <si>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</si>
  <si>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</si>
  <si>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</si>
  <si>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</si>
  <si>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</si>
  <si>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</si>
  <si>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</si>
  <si>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</si>
  <si>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</si>
  <si>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</si>
  <si>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</si>
  <si>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</si>
  <si>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</si>
  <si>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</si>
  <si>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</si>
  <si>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</si>
  <si>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</si>
  <si>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</si>
  <si>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</si>
  <si>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</si>
  <si>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</si>
  <si>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</si>
  <si>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</si>
  <si>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</si>
  <si>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</si>
  <si>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</si>
  <si>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</si>
  <si>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</si>
  <si>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</si>
  <si>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</si>
  <si>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</si>
  <si>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</si>
  <si>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</si>
  <si>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</si>
  <si>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</si>
  <si>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</si>
  <si>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</si>
  <si>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</si>
  <si>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</si>
  <si>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</si>
  <si>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</si>
  <si>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</si>
  <si>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</si>
  <si>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</si>
  <si>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</si>
  <si>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</si>
  <si>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</si>
  <si>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</si>
  <si>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</si>
  <si>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</si>
  <si>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</si>
  <si>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</si>
  <si>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</si>
  <si>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</si>
  <si>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</si>
  <si>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</si>
  <si>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</si>
  <si>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</si>
  <si>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</si>
  <si>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</si>
  <si>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</si>
  <si>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</si>
  <si>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</si>
  <si>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</si>
  <si>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</si>
  <si>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</si>
  <si>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</si>
  <si>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</si>
  <si>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</si>
  <si>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</si>
  <si>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</si>
  <si>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</si>
  <si>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</si>
  <si>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</si>
  <si>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</si>
  <si>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</si>
  <si>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</si>
  <si>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</si>
  <si>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</si>
  <si>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</si>
  <si>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</si>
  <si>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</si>
  <si>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</si>
  <si>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</si>
  <si>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</si>
  <si>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</si>
  <si>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</si>
  <si>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</si>
  <si>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</si>
  <si>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</si>
  <si>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</si>
  <si>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</si>
  <si>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</si>
  <si>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</si>
  <si>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</si>
  <si>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</si>
  <si>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</si>
  <si>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</si>
  <si>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</si>
  <si>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</si>
  <si>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</si>
  <si>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</si>
  <si>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</si>
  <si>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</si>
  <si>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</si>
  <si>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</si>
  <si>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</si>
  <si>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</si>
  <si>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</si>
  <si>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</si>
  <si>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</si>
  <si>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</si>
  <si>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</si>
  <si>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</si>
  <si>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</si>
  <si>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</si>
  <si>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</si>
  <si>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</si>
  <si>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</si>
  <si>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</si>
  <si>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</si>
  <si>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</si>
  <si>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</si>
  <si>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</si>
  <si>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</si>
  <si>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</si>
  <si>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</si>
  <si>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</si>
  <si>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</si>
  <si>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</si>
  <si>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</si>
  <si>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</si>
  <si>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</si>
  <si>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</si>
  <si>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</si>
  <si>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</si>
  <si>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</si>
  <si>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</si>
  <si>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</si>
  <si>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</si>
  <si>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</si>
  <si>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</si>
  <si>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</si>
  <si>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</si>
  <si>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</si>
  <si>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</si>
  <si>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</si>
  <si>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</si>
  <si>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</si>
  <si>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</si>
  <si>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</si>
  <si>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</si>
  <si>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</si>
  <si>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</si>
  <si>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</si>
  <si>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</si>
  <si>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</si>
  <si>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</si>
  <si>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</si>
  <si>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</si>
  <si>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</si>
  <si>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</si>
  <si>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</si>
  <si>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</si>
  <si>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</si>
  <si>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</si>
  <si>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</si>
  <si>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</si>
  <si>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</si>
  <si>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</si>
  <si>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</si>
  <si>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</si>
  <si>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</si>
  <si>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</si>
  <si>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</si>
  <si>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</si>
  <si>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</si>
  <si>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</si>
  <si>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</si>
  <si>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</si>
  <si>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</si>
  <si>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</si>
  <si>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</si>
  <si>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</si>
  <si>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</si>
  <si>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</si>
  <si>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</si>
  <si>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</si>
  <si>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</si>
  <si>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</si>
  <si>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</si>
  <si>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</si>
  <si>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</si>
  <si>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</si>
  <si>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</si>
  <si>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</si>
  <si>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</si>
  <si>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</si>
  <si>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</si>
  <si>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</si>
  <si>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</si>
  <si>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</si>
  <si>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</si>
  <si>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</si>
  <si>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</si>
  <si>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</si>
  <si>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</si>
  <si>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</si>
  <si>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</si>
  <si>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</si>
  <si>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</si>
  <si>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</si>
  <si>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</si>
  <si>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</si>
  <si>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</si>
  <si>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</si>
  <si>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</si>
  <si>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</si>
  <si>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</si>
  <si>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</si>
  <si>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</si>
  <si>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</si>
  <si>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</si>
  <si>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</si>
  <si>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</si>
  <si>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</si>
  <si>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</si>
  <si>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</si>
  <si>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</si>
  <si>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</si>
  <si>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</si>
  <si>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</si>
  <si>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</si>
  <si>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</si>
  <si>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</si>
  <si>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</si>
  <si>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</si>
  <si>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</si>
  <si>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</si>
  <si>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</si>
  <si>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</si>
  <si>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</si>
  <si>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</si>
  <si>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</si>
  <si>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</si>
  <si>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</si>
  <si>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</si>
  <si>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</si>
  <si>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</si>
  <si>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</si>
  <si>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</si>
  <si>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</si>
  <si>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</si>
  <si>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</si>
  <si>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</si>
  <si>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</si>
  <si>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</si>
  <si>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</si>
  <si>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</si>
  <si>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</si>
  <si>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</si>
  <si>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</si>
  <si>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</si>
  <si>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</si>
  <si>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</si>
  <si>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</si>
  <si>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</si>
  <si>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</si>
  <si>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</si>
  <si>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</si>
  <si>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</si>
  <si>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</si>
  <si>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</si>
  <si>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</si>
  <si>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</si>
  <si>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</si>
  <si>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</si>
  <si>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</si>
  <si>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</si>
  <si>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</si>
  <si>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</si>
  <si>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</si>
  <si>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</si>
  <si>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</si>
  <si>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</si>
  <si>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</si>
  <si>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</si>
  <si>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</si>
  <si>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</si>
  <si>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</si>
  <si>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</si>
  <si>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</si>
  <si>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</si>
  <si>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</si>
  <si>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</si>
  <si>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</si>
  <si>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</si>
  <si>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</si>
  <si>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</si>
  <si>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</si>
  <si>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</si>
  <si>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</si>
  <si>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</si>
  <si>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</si>
  <si>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</si>
  <si>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</si>
  <si>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</si>
  <si>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</si>
  <si>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</si>
  <si>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</si>
  <si>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</si>
  <si>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</si>
  <si>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</si>
  <si>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</si>
  <si>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</si>
  <si>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</si>
  <si>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</si>
  <si>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</si>
  <si>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</si>
  <si>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</si>
  <si>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</si>
  <si>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</si>
  <si>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</si>
  <si>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</si>
  <si>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</si>
  <si>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</si>
  <si>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</si>
  <si>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</si>
  <si>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</si>
  <si>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</si>
  <si>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</si>
  <si>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</si>
  <si>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</si>
  <si>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</si>
  <si>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</si>
  <si>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</si>
  <si>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</si>
  <si>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</si>
  <si>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</si>
  <si>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</si>
  <si>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</si>
  <si>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</si>
  <si>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</si>
  <si>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</si>
  <si>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</si>
  <si>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</si>
  <si>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</si>
  <si>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</si>
  <si>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</si>
  <si>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</si>
  <si>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</si>
  <si>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</si>
  <si>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</si>
  <si>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</si>
  <si>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</si>
  <si>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</si>
  <si>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</si>
  <si>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</si>
  <si>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</si>
  <si>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</si>
  <si>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</si>
  <si>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</si>
  <si>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</si>
  <si>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</si>
  <si>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</si>
  <si>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</si>
  <si>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</si>
  <si>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</si>
  <si>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</si>
  <si>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</si>
  <si>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</si>
  <si>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</si>
  <si>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</si>
  <si>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</si>
  <si>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</si>
  <si>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Bow School District</t>
  </si>
  <si>
    <t>8/15/96</t>
  </si>
  <si>
    <t>8/20/16</t>
  </si>
  <si>
    <t>7/1/2006</t>
  </si>
  <si>
    <t>7/1/2026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</si>
</sst>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09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57</v>
      </c>
      <c r="C2" s="21">
        <v>57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1405837.15</v>
      </c>
      <c r="G9" s="18">
        <v>0</v>
      </c>
      <c r="H9" s="18">
        <v>0</v>
      </c>
      <c r="I9" s="18">
        <v>0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1231570.4300000002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f>52802.18-17258.18</f>
        <v>35544</v>
      </c>
      <c r="H12" s="18">
        <v>0</v>
      </c>
      <c r="I12" s="18">
        <v>0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0</v>
      </c>
      <c r="H13" s="18">
        <v>78659.759999999995</v>
      </c>
      <c r="I13" s="18">
        <v>0</v>
      </c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24510+17188</f>
        <v>41698</v>
      </c>
      <c r="G14" s="18">
        <v>17258.18</v>
      </c>
      <c r="H14" s="18"/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22614.86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1470150.01</v>
      </c>
      <c r="G19" s="41">
        <f>SUM(G9:G18)</f>
        <v>52802.18</v>
      </c>
      <c r="H19" s="41">
        <f>SUM(H9:H18)</f>
        <v>78659.759999999995</v>
      </c>
      <c r="I19" s="41">
        <f>SUM(I9:I18)</f>
        <v>0</v>
      </c>
      <c r="J19" s="41">
        <f>SUM(J9:J18)</f>
        <v>1231570.4300000002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1445640.01-1445837.29</f>
        <v>-197.28000000002794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f>78659.76-3236.53</f>
        <v>75423.23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406020.4</v>
      </c>
      <c r="G24" s="18">
        <v>249.74</v>
      </c>
      <c r="H24" s="18">
        <v>3236.53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132004.1</v>
      </c>
      <c r="G25" s="145">
        <v>4941.07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3919.98+13057.35-2115.99</f>
        <v>14861.340000000002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552688.55999999994</v>
      </c>
      <c r="G32" s="41">
        <f>SUM(G22:G31)</f>
        <v>5190.8099999999995</v>
      </c>
      <c r="H32" s="41">
        <f>SUM(H22:H31)</f>
        <v>78659.759999999995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24510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f>G476</f>
        <v>47611.369999999995</v>
      </c>
      <c r="H48" s="18">
        <v>0</v>
      </c>
      <c r="I48" s="18">
        <v>0</v>
      </c>
      <c r="J48" s="13">
        <f>SUM(I459)</f>
        <v>1231570.4300000002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F476-24510</f>
        <v>892951.44999999553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917461.44999999553</v>
      </c>
      <c r="G51" s="41">
        <f>SUM(G35:G50)</f>
        <v>47611.369999999995</v>
      </c>
      <c r="H51" s="41">
        <f>SUM(H35:H50)</f>
        <v>0</v>
      </c>
      <c r="I51" s="41">
        <f>SUM(I35:I50)</f>
        <v>0</v>
      </c>
      <c r="J51" s="41">
        <f>SUM(J35:J50)</f>
        <v>1231570.4300000002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1470150.0099999956</v>
      </c>
      <c r="G52" s="41">
        <f>G51+G32</f>
        <v>52802.179999999993</v>
      </c>
      <c r="H52" s="41">
        <f>H51+H32</f>
        <v>78659.759999999995</v>
      </c>
      <c r="I52" s="41">
        <f>I51+I32</f>
        <v>0</v>
      </c>
      <c r="J52" s="41">
        <f>J51+J32</f>
        <v>1231570.4300000002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18111815</v>
      </c>
      <c r="G57" s="18">
        <v>0</v>
      </c>
      <c r="H57" s="18">
        <v>0</v>
      </c>
      <c r="I57" s="18">
        <v>0</v>
      </c>
      <c r="J57" s="18">
        <v>0</v>
      </c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18111815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178575.24-154012.16+15543.82-11711.32</f>
        <v>28395.579999999987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4325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f>21421.86+1000+6750+26992.1+5905.5+5905.5+5905.5+74226.2+5905.5+645365.64+340187.03</f>
        <v>1139564.83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f>3761.5+4188.32+3761.5</f>
        <v>11711.32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1183996.7300000002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1748.32</v>
      </c>
      <c r="G96" s="18">
        <v>0</v>
      </c>
      <c r="H96" s="18">
        <v>0</v>
      </c>
      <c r="I96" s="18">
        <v>0</v>
      </c>
      <c r="J96" s="18">
        <f>H408</f>
        <v>17491.28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105005.69+166485.08+193167.13+4502.08-1657.46</f>
        <v>467502.52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f>30601.05+8196</f>
        <v>38797.050000000003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f>5465</f>
        <v>5465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500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118.8+456203.38+259169</f>
        <v>715491.17999999993</v>
      </c>
      <c r="G110" s="18">
        <v>0</v>
      </c>
      <c r="H110" s="18">
        <v>0</v>
      </c>
      <c r="I110" s="18">
        <v>0</v>
      </c>
      <c r="J110" s="18">
        <v>0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762001.54999999993</v>
      </c>
      <c r="G111" s="41">
        <f>SUM(G96:G110)</f>
        <v>467502.52</v>
      </c>
      <c r="H111" s="41">
        <f>SUM(H96:H110)</f>
        <v>0</v>
      </c>
      <c r="I111" s="41">
        <f>SUM(I96:I110)</f>
        <v>0</v>
      </c>
      <c r="J111" s="41">
        <f>SUM(J96:J110)</f>
        <v>17491.28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20057813.280000001</v>
      </c>
      <c r="G112" s="41">
        <f>G60+G111</f>
        <v>467502.52</v>
      </c>
      <c r="H112" s="41">
        <f>H60+H79+H94+H111</f>
        <v>0</v>
      </c>
      <c r="I112" s="41">
        <f>I60+I111</f>
        <v>0</v>
      </c>
      <c r="J112" s="41">
        <f>J60+J111</f>
        <v>17491.28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f>3302493.25-1881.98</f>
        <v>3300611.27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2151913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1881.98</v>
      </c>
      <c r="G120" s="18">
        <v>0</v>
      </c>
      <c r="H120" s="18">
        <v>0</v>
      </c>
      <c r="I120" s="18">
        <v>0</v>
      </c>
      <c r="J120" s="18">
        <v>0</v>
      </c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5454406.25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313323.82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111537.28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8734.7999999999993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5541.62+22568.98</f>
        <v>28110.6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433595.89999999997</v>
      </c>
      <c r="G136" s="41">
        <f>SUM(G123:G135)</f>
        <v>28110.6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5888002.1500000004</v>
      </c>
      <c r="G140" s="41">
        <f>G121+SUM(G136:G137)</f>
        <v>28110.6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19295.42+56831.58</f>
        <v>76127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9600</f>
        <v>9600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60060.5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f>247417.72</f>
        <v>247417.72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233422.07999999999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233422.07999999999</v>
      </c>
      <c r="G162" s="41">
        <f>SUM(G150:G161)</f>
        <v>60060.5</v>
      </c>
      <c r="H162" s="41">
        <f>SUM(H150:H161)</f>
        <v>333144.71999999997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>
        <v>0</v>
      </c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233422.07999999999</v>
      </c>
      <c r="G169" s="41">
        <f>G147+G162+SUM(G163:G168)</f>
        <v>60060.5</v>
      </c>
      <c r="H169" s="41">
        <f>H147+H162+SUM(H163:H168)</f>
        <v>333144.71999999997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0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0</v>
      </c>
      <c r="J181" s="18">
        <v>0</v>
      </c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>
        <v>0</v>
      </c>
      <c r="I182" s="24" t="s">
        <v>289</v>
      </c>
      <c r="J182" s="18">
        <v>0</v>
      </c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26179237.509999998</v>
      </c>
      <c r="G193" s="47">
        <f>G112+G140+G169+G192</f>
        <v>555673.62</v>
      </c>
      <c r="H193" s="47">
        <f>H112+H140+H169+H192</f>
        <v>333144.71999999997</v>
      </c>
      <c r="I193" s="47">
        <f>I112+I140+I169+I192</f>
        <v>0</v>
      </c>
      <c r="J193" s="47">
        <f>J112+J140+J192</f>
        <v>17491.28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1653271.35+26394.25</f>
        <v>1679665.6</v>
      </c>
      <c r="G197" s="18">
        <f>22826.76+799308.57</f>
        <v>822135.33</v>
      </c>
      <c r="H197" s="18">
        <f>101.55+14782.3+5498.53</f>
        <v>20382.379999999997</v>
      </c>
      <c r="I197" s="18">
        <f>3194.51+1164.3+2028.44+12292.67+385.71+3094.89+2729.48+891.41+27313+747.86+11803.11+6612.91</f>
        <v>72258.290000000008</v>
      </c>
      <c r="J197" s="18">
        <f>540.93+1787.62+93.9+3275.04</f>
        <v>5697.49</v>
      </c>
      <c r="K197" s="18">
        <v>0</v>
      </c>
      <c r="L197" s="19">
        <f>SUM(F197:K197)</f>
        <v>2600139.0900000003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350060+399449.96+9390.81+38420.88+62965.95</f>
        <v>860287.6</v>
      </c>
      <c r="G198" s="18">
        <f>355767.22+20973.11</f>
        <v>376740.32999999996</v>
      </c>
      <c r="H198" s="18">
        <f>130.14+126613.92+1911+10.98+7128.84</f>
        <v>135794.88</v>
      </c>
      <c r="I198" s="18">
        <f>369.07+768.93+199.9+1926.45+231.86</f>
        <v>3496.2100000000005</v>
      </c>
      <c r="J198" s="18">
        <f>3135</f>
        <v>3135</v>
      </c>
      <c r="K198" s="18">
        <v>0</v>
      </c>
      <c r="L198" s="19">
        <f>SUM(F198:K198)</f>
        <v>1379454.02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5720</f>
        <v>5720</v>
      </c>
      <c r="G200" s="18">
        <f>1050.29</f>
        <v>1050.29</v>
      </c>
      <c r="H200" s="18">
        <v>0</v>
      </c>
      <c r="I200" s="18">
        <f>227.23+463.23</f>
        <v>690.46</v>
      </c>
      <c r="J200" s="18">
        <v>0</v>
      </c>
      <c r="K200" s="18">
        <f>2570</f>
        <v>2570</v>
      </c>
      <c r="L200" s="19">
        <f>SUM(F200:K200)</f>
        <v>10030.75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439.99+67142+41224+18175.05+23302.74+191703.77+104347.13+124464.04</f>
        <v>570798.72</v>
      </c>
      <c r="G202" s="18">
        <f>7697.25+25985.32+24813.62+15609.11+135050.9+57721.45</f>
        <v>266877.65000000002</v>
      </c>
      <c r="H202" s="18">
        <f>892.38+1547.99+10479.31+52001.8+545.57+8333.33</f>
        <v>73800.38</v>
      </c>
      <c r="I202" s="18">
        <v>0</v>
      </c>
      <c r="J202" s="18">
        <f>424.84+1693.69</f>
        <v>2118.5300000000002</v>
      </c>
      <c r="K202" s="18">
        <v>0</v>
      </c>
      <c r="L202" s="19">
        <f t="shared" ref="L202:L208" si="0">SUM(F202:K202)</f>
        <v>913595.28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3031.33+72598+24334.09+16666.67</f>
        <v>116630.09</v>
      </c>
      <c r="G203" s="18">
        <f>657.47+34777.05+16642.38</f>
        <v>52076.900000000009</v>
      </c>
      <c r="H203" s="18">
        <f>215+235.2+3279.01+8347.47+8014.03+745+988.03+6118.26+15966.99</f>
        <v>43908.99</v>
      </c>
      <c r="I203" s="18">
        <f>388.53+11592.34+3846.3+272.15</f>
        <v>16099.320000000002</v>
      </c>
      <c r="J203" s="18">
        <f>1192.53+70463.95</f>
        <v>71656.479999999996</v>
      </c>
      <c r="K203" s="18">
        <v>0</v>
      </c>
      <c r="L203" s="19">
        <f t="shared" si="0"/>
        <v>300371.77999999997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5260.14+66.67+333.33</f>
        <v>5660.14</v>
      </c>
      <c r="G204" s="18">
        <f>318.75+25.5</f>
        <v>344.25</v>
      </c>
      <c r="H204" s="18">
        <f>10697.22+5208.96+4566.67+240712</f>
        <v>261184.85</v>
      </c>
      <c r="I204" s="18">
        <f>2714.1</f>
        <v>2714.1</v>
      </c>
      <c r="J204" s="18">
        <v>0</v>
      </c>
      <c r="K204" s="18">
        <f>13390+1824.83</f>
        <v>15214.83</v>
      </c>
      <c r="L204" s="19">
        <f t="shared" si="0"/>
        <v>285118.17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140803.92+79325.48+81674.46</f>
        <v>301803.86000000004</v>
      </c>
      <c r="G205" s="18">
        <v>122575.34</v>
      </c>
      <c r="H205" s="18">
        <f>625+2252.68+1366.44+857.36+337.41</f>
        <v>5438.8899999999994</v>
      </c>
      <c r="I205" s="18">
        <f>629.95</f>
        <v>629.95000000000005</v>
      </c>
      <c r="J205" s="18">
        <v>0</v>
      </c>
      <c r="K205" s="18">
        <v>1863</v>
      </c>
      <c r="L205" s="19">
        <f t="shared" si="0"/>
        <v>432311.0400000001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109166.17+20799.46</f>
        <v>129965.63</v>
      </c>
      <c r="G207" s="18">
        <f>70476.53+14915.68</f>
        <v>85392.209999999992</v>
      </c>
      <c r="H207" s="18">
        <f>9212.16+5847.2+1198.42+8806.11+1535.34-15420.35+15403.7+13802.7+8988.55+390.76+12681.3+407.5</f>
        <v>62853.39</v>
      </c>
      <c r="I207" s="18">
        <f>14372.26+30660.79+80382.83+1107.33+386.02</f>
        <v>126909.23000000001</v>
      </c>
      <c r="J207" s="18">
        <f>2971.55</f>
        <v>2971.55</v>
      </c>
      <c r="K207" s="18">
        <v>0</v>
      </c>
      <c r="L207" s="19">
        <f t="shared" si="0"/>
        <v>408092.00999999995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113867+18796.1+856.81+26948.21</f>
        <v>160468.12</v>
      </c>
      <c r="G208" s="18">
        <f>29576.74+1929.9+75.91+16940.89</f>
        <v>48523.44</v>
      </c>
      <c r="H208" s="18">
        <f>527.46+78900.83+30526.65</f>
        <v>109954.94</v>
      </c>
      <c r="I208" s="18">
        <f>2371.2+51997.3</f>
        <v>54368.5</v>
      </c>
      <c r="J208" s="18">
        <f>56054.07</f>
        <v>56054.07</v>
      </c>
      <c r="K208" s="18">
        <f>2982.46</f>
        <v>2982.46</v>
      </c>
      <c r="L208" s="19">
        <f t="shared" si="0"/>
        <v>432351.53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3830999.76</v>
      </c>
      <c r="G211" s="41">
        <f t="shared" si="1"/>
        <v>1775715.74</v>
      </c>
      <c r="H211" s="41">
        <f t="shared" si="1"/>
        <v>713318.7</v>
      </c>
      <c r="I211" s="41">
        <f t="shared" si="1"/>
        <v>277166.06000000006</v>
      </c>
      <c r="J211" s="41">
        <f t="shared" si="1"/>
        <v>141633.12</v>
      </c>
      <c r="K211" s="41">
        <f t="shared" si="1"/>
        <v>22630.29</v>
      </c>
      <c r="L211" s="41">
        <f t="shared" si="1"/>
        <v>6761463.6700000009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2390730.25+18678.16+38465.87</f>
        <v>2447874.2800000003</v>
      </c>
      <c r="G215" s="18">
        <f>22826.76+1164878.83</f>
        <v>1187705.5900000001</v>
      </c>
      <c r="H215" s="18">
        <f>101.55+14970.92+7455.08</f>
        <v>22527.55</v>
      </c>
      <c r="I215" s="18">
        <f>3359.63+487.92+1747.23+413.28+288.04+13515.59+1151.39+3423.21+5363.8+261.74+1841.26+513+3082.36+6458.62+1279.06+494.84+17549.74+951.52+2202.55+10404.26</f>
        <v>74789.039999999994</v>
      </c>
      <c r="J215" s="18">
        <f>1524.38+869.77+7706.73+6961.99+3245.34</f>
        <v>20308.21</v>
      </c>
      <c r="K215" s="18">
        <v>1140</v>
      </c>
      <c r="L215" s="19">
        <f>SUM(F215:K215)</f>
        <v>3754344.67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318976+396826.6+8968.49+52744.35+67620</f>
        <v>845135.44</v>
      </c>
      <c r="G216" s="18">
        <f>346929.63+22523.32</f>
        <v>369452.95</v>
      </c>
      <c r="H216" s="18">
        <f>178.66+173816.15+338334.32+7782.84+15.07+7128.84</f>
        <v>527255.88</v>
      </c>
      <c r="I216" s="18">
        <f>506.66+2618.22+223.1+945+292.71</f>
        <v>4585.6899999999996</v>
      </c>
      <c r="J216" s="18">
        <f>2207.9</f>
        <v>2207.9</v>
      </c>
      <c r="K216" s="18">
        <v>0</v>
      </c>
      <c r="L216" s="19">
        <f>SUM(F216:K216)</f>
        <v>1748637.8599999999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27182+20660</f>
        <v>47842</v>
      </c>
      <c r="G218" s="18">
        <f>4991.09+5105.66</f>
        <v>10096.75</v>
      </c>
      <c r="H218" s="18">
        <f>5237</f>
        <v>5237</v>
      </c>
      <c r="I218" s="18">
        <f>1631.05+1343.69</f>
        <v>2974.74</v>
      </c>
      <c r="J218" s="18">
        <f>1868</f>
        <v>1868</v>
      </c>
      <c r="K218" s="18">
        <f>1867.5+5200</f>
        <v>7067.5</v>
      </c>
      <c r="L218" s="19">
        <f>SUM(F218:K218)</f>
        <v>75085.990000000005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439.99+128179.65+60237+7862.73+31990.11+37646.56+14036.54+62232.02</f>
        <v>342624.60000000003</v>
      </c>
      <c r="G220" s="18">
        <f>7697.25+49608.13+28448.28+21428.26+23576.52+28860.73</f>
        <v>159619.17000000001</v>
      </c>
      <c r="H220" s="18">
        <f>1225.06+253.89+1718.72+26000.9+272.78+8333.33</f>
        <v>37804.68</v>
      </c>
      <c r="I220" s="18">
        <f>302.71+959.79+48.74+150.86+393.2</f>
        <v>1855.3</v>
      </c>
      <c r="J220" s="18">
        <f>1559+69.68+846.85</f>
        <v>2475.5300000000002</v>
      </c>
      <c r="K220" s="18">
        <v>0</v>
      </c>
      <c r="L220" s="19">
        <f t="shared" ref="L220:L226" si="2">SUM(F220:K220)</f>
        <v>544379.28000000014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3031.33+67520+28969.16+16666.67</f>
        <v>116187.16</v>
      </c>
      <c r="G221" s="18">
        <f>657.47+32344.51+19812.36</f>
        <v>52814.34</v>
      </c>
      <c r="H221" s="18">
        <f>791.72+7004.39+2562.68+9097.16+383.32+1356.37+8399.17+21919.56</f>
        <v>51514.369999999995</v>
      </c>
      <c r="I221" s="18">
        <f>175.57+6896.64+3133.66+89.99</f>
        <v>10295.859999999999</v>
      </c>
      <c r="J221" s="18">
        <f>96733.23</f>
        <v>96733.23</v>
      </c>
      <c r="K221" s="18">
        <v>0</v>
      </c>
      <c r="L221" s="19">
        <f t="shared" si="2"/>
        <v>327544.95999999996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5260.14+66.67+333.33</f>
        <v>5660.14</v>
      </c>
      <c r="G222" s="18">
        <f>318.75+25.5</f>
        <v>344.25</v>
      </c>
      <c r="H222" s="18">
        <f>10697.22+5208.96+4566.67+240712</f>
        <v>261184.85</v>
      </c>
      <c r="I222" s="18">
        <f>2714.1</f>
        <v>2714.1</v>
      </c>
      <c r="J222" s="18">
        <v>0</v>
      </c>
      <c r="K222" s="18">
        <f>1824.83</f>
        <v>1824.83</v>
      </c>
      <c r="L222" s="19">
        <f t="shared" si="2"/>
        <v>271728.17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100139.52+105570.44+81674.46</f>
        <v>287384.42000000004</v>
      </c>
      <c r="G223" s="18">
        <v>116718.99</v>
      </c>
      <c r="H223" s="18">
        <f>849+2389.28+1451.44+754.98+523.47</f>
        <v>5968.170000000001</v>
      </c>
      <c r="I223" s="18">
        <f>1287.02</f>
        <v>1287.02</v>
      </c>
      <c r="J223" s="18">
        <v>0</v>
      </c>
      <c r="K223" s="18">
        <v>1030</v>
      </c>
      <c r="L223" s="19">
        <f t="shared" si="2"/>
        <v>412388.60000000003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105294.8+34179.74</f>
        <v>139474.54</v>
      </c>
      <c r="G225" s="18">
        <f>67977.22+24510.93</f>
        <v>92488.15</v>
      </c>
      <c r="H225" s="18">
        <f>9905.16+5804.8+4193.51+9440.31+2021.75+275+13146.83+87159.61+18832.11+10482.76+1172.27+25034.2+1600.51+835</f>
        <v>189903.82000000004</v>
      </c>
      <c r="I225" s="18">
        <f>12826.11+43105.47+109672.66+827.95+3322+1158.06</f>
        <v>170912.25</v>
      </c>
      <c r="J225" s="18">
        <f>136.14+748.35</f>
        <v>884.49</v>
      </c>
      <c r="K225" s="18">
        <v>0</v>
      </c>
      <c r="L225" s="19">
        <f t="shared" si="2"/>
        <v>593663.25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113867+18796.1+5569.26+6940.03+26948.21</f>
        <v>172120.6</v>
      </c>
      <c r="G226" s="18">
        <f>29576.74+1929.9+493.42+614.53+16940.89</f>
        <v>49555.479999999996</v>
      </c>
      <c r="H226" s="18">
        <f>527.46+78900.83+30526.65</f>
        <v>109954.94</v>
      </c>
      <c r="I226" s="18">
        <f>2371.2+51997.3</f>
        <v>54368.5</v>
      </c>
      <c r="J226" s="18">
        <f>56054.07</f>
        <v>56054.07</v>
      </c>
      <c r="K226" s="18">
        <f>2982.46</f>
        <v>2982.46</v>
      </c>
      <c r="L226" s="19">
        <f t="shared" si="2"/>
        <v>445036.05000000005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4404303.18</v>
      </c>
      <c r="G229" s="41">
        <f>SUM(G215:G228)</f>
        <v>2038795.67</v>
      </c>
      <c r="H229" s="41">
        <f>SUM(H215:H228)</f>
        <v>1211351.26</v>
      </c>
      <c r="I229" s="41">
        <f>SUM(I215:I228)</f>
        <v>323782.5</v>
      </c>
      <c r="J229" s="41">
        <f>SUM(J215:J228)</f>
        <v>180531.43</v>
      </c>
      <c r="K229" s="41">
        <f t="shared" si="3"/>
        <v>14044.79</v>
      </c>
      <c r="L229" s="41">
        <f t="shared" si="3"/>
        <v>8172808.8299999991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2626560.71+41932.67</f>
        <v>2668493.38</v>
      </c>
      <c r="G233" s="18">
        <f>22826.76+1269865.65</f>
        <v>1292692.4099999999</v>
      </c>
      <c r="H233" s="18">
        <f>101.56+18309.84+857.67</f>
        <v>19269.07</v>
      </c>
      <c r="I233" s="18">
        <f>13590.72+489.15+4084.5+5843.71+6389.46+1143.07+5806.22+10355.39+15743.03+31372.31+2117.97+10287.88+2289.79+781.02</f>
        <v>110294.22</v>
      </c>
      <c r="J233" s="18">
        <f>2443.61+9851.48+6735.78+1315.98</f>
        <v>20346.849999999999</v>
      </c>
      <c r="K233" s="18">
        <v>3963</v>
      </c>
      <c r="L233" s="19">
        <f>SUM(F233:K233)</f>
        <v>4115058.93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333343+370953.99+8824.33+52884.85</f>
        <v>766006.16999999993</v>
      </c>
      <c r="G234" s="18">
        <f>341794.16</f>
        <v>341794.16</v>
      </c>
      <c r="H234" s="18">
        <f>442.6+179.14+174279.18+336745.77+15.11+7128.84</f>
        <v>518790.64</v>
      </c>
      <c r="I234" s="18">
        <f>508.01+6001.4+256.3</f>
        <v>6765.71</v>
      </c>
      <c r="J234" s="18">
        <f>10464.39</f>
        <v>10464.39</v>
      </c>
      <c r="K234" s="18">
        <v>0</v>
      </c>
      <c r="L234" s="19">
        <f>SUM(F234:K234)</f>
        <v>1643821.0699999996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86112.98</v>
      </c>
      <c r="I235" s="18">
        <v>0</v>
      </c>
      <c r="J235" s="18">
        <v>0</v>
      </c>
      <c r="K235" s="18">
        <v>0</v>
      </c>
      <c r="L235" s="19">
        <f>SUM(F235:K235)</f>
        <v>86112.98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52995.4+63612.37+164820.81+8400</f>
        <v>289828.58</v>
      </c>
      <c r="G236" s="18">
        <f>9730.87+56452.22+1161.18</f>
        <v>67344.26999999999</v>
      </c>
      <c r="H236" s="18">
        <f>1146.84+47060.6+736.71+25503.54</f>
        <v>74447.69</v>
      </c>
      <c r="I236" s="18">
        <f>7993.24+21529.38</f>
        <v>29522.620000000003</v>
      </c>
      <c r="J236" s="18">
        <f>13347</f>
        <v>13347</v>
      </c>
      <c r="K236" s="18">
        <f>300+5906.6</f>
        <v>6206.6</v>
      </c>
      <c r="L236" s="19">
        <f>SUM(F236:K236)</f>
        <v>480696.75999999995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439.99+281416.48+40643.32+61767.44+32075.33+37646.56+14036.54</f>
        <v>468025.66</v>
      </c>
      <c r="G238" s="18">
        <f>7697.26+124643.67+25803.01+21485.34-0.54+23576.54</f>
        <v>203205.28</v>
      </c>
      <c r="H238" s="18">
        <f>1235+306.8+785.74+91.79+289+1228.32+253.89+1718.72+8333.34+3679.23</f>
        <v>17921.830000000002</v>
      </c>
      <c r="I238" s="18">
        <f>4905.47+38.88+2000+326.65+56.68+6142+1765.46+72.66+48.87+150.86</f>
        <v>15507.53</v>
      </c>
      <c r="J238" s="18">
        <f>69.68</f>
        <v>69.680000000000007</v>
      </c>
      <c r="K238" s="18">
        <f>120+100</f>
        <v>220</v>
      </c>
      <c r="L238" s="19">
        <f t="shared" ref="L238:L244" si="4">SUM(F238:K238)</f>
        <v>704949.98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3031.34+73880+13847.85+62573.39+16666.67</f>
        <v>169999.25</v>
      </c>
      <c r="G239" s="18">
        <f>657.47+42024.79+42794.69-0.02</f>
        <v>85476.930000000008</v>
      </c>
      <c r="H239" s="18">
        <f>11527.1+4169.08+12827.85+923.51+1359.98+8421.55+21977.95+100</f>
        <v>61307.01999999999</v>
      </c>
      <c r="I239" s="18">
        <f>2027.38+7566.9+27146.46</f>
        <v>36740.74</v>
      </c>
      <c r="J239" s="18">
        <f>1062.78+723.93+301.09+750+96990.92</f>
        <v>99828.72</v>
      </c>
      <c r="K239" s="18">
        <f>228</f>
        <v>228</v>
      </c>
      <c r="L239" s="19">
        <f t="shared" si="4"/>
        <v>453580.65999999992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5260.14+66.67+333.33</f>
        <v>5660.14</v>
      </c>
      <c r="G240" s="18">
        <f>318.75+25.5+0.02</f>
        <v>344.27</v>
      </c>
      <c r="H240" s="18">
        <f>10697.22+5208.96+4566.67+240712</f>
        <v>261184.85</v>
      </c>
      <c r="I240" s="18">
        <f>2714.1</f>
        <v>2714.1</v>
      </c>
      <c r="J240" s="18">
        <v>0</v>
      </c>
      <c r="K240" s="18">
        <f>39033.95-13390+1824.83</f>
        <v>27468.78</v>
      </c>
      <c r="L240" s="19">
        <f t="shared" si="4"/>
        <v>297372.14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101510.4+90493.18+82803.6</f>
        <v>274807.18</v>
      </c>
      <c r="G241" s="18">
        <f>11424+112016.98</f>
        <v>123440.98</v>
      </c>
      <c r="H241" s="18">
        <f>1266.57+11958.62+6164.04+7903.82+1696.66</f>
        <v>28989.71</v>
      </c>
      <c r="I241" s="18">
        <f>3717.7</f>
        <v>3717.7</v>
      </c>
      <c r="J241" s="18">
        <f>2199.98+1756</f>
        <v>3955.98</v>
      </c>
      <c r="K241" s="18">
        <f>2122+5829.01</f>
        <v>7951.01</v>
      </c>
      <c r="L241" s="19">
        <f t="shared" si="4"/>
        <v>442862.56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195291.22+20.33+95371.4</f>
        <v>290682.94999999995</v>
      </c>
      <c r="G243" s="18">
        <f>45+126091.09+68392.61</f>
        <v>194528.7</v>
      </c>
      <c r="H243" s="18">
        <f>10988.16+8595.2+602.49+744.5+6790.96+4784.19+227+24070.35+64676.18+30898.19+32899.6+6252.12+43230.71+10813.84+1584.45</f>
        <v>247157.94</v>
      </c>
      <c r="I243" s="18">
        <f>27052.98+120181.28+179941.96+1084.32+17717.33+6176.34</f>
        <v>352154.21</v>
      </c>
      <c r="J243" s="18">
        <f>520</f>
        <v>520</v>
      </c>
      <c r="K243" s="18">
        <v>0</v>
      </c>
      <c r="L243" s="19">
        <f t="shared" si="4"/>
        <v>1085043.8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11471.15+35036+18796.1+11566.93+20048.97+8291.76</f>
        <v>105210.90999999999</v>
      </c>
      <c r="G244" s="18">
        <f>934.21+9100.53+1929.9+1024.8+1775.3+5214.54</f>
        <v>19979.28</v>
      </c>
      <c r="H244" s="18">
        <f>162.3+78900.83+2023.93+9392.82</f>
        <v>90479.88</v>
      </c>
      <c r="I244" s="18">
        <f>729.6+15997.17</f>
        <v>16726.77</v>
      </c>
      <c r="J244" s="18">
        <f>17247.41</f>
        <v>17247.41</v>
      </c>
      <c r="K244" s="18">
        <f>917.68</f>
        <v>917.68</v>
      </c>
      <c r="L244" s="19">
        <f t="shared" si="4"/>
        <v>250561.93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5038714.22</v>
      </c>
      <c r="G247" s="41">
        <f t="shared" si="5"/>
        <v>2328806.2799999998</v>
      </c>
      <c r="H247" s="41">
        <f t="shared" si="5"/>
        <v>1405661.6099999999</v>
      </c>
      <c r="I247" s="41">
        <f t="shared" si="5"/>
        <v>574143.60000000009</v>
      </c>
      <c r="J247" s="41">
        <f t="shared" si="5"/>
        <v>165780.03000000003</v>
      </c>
      <c r="K247" s="41">
        <f t="shared" si="5"/>
        <v>46955.07</v>
      </c>
      <c r="L247" s="41">
        <f t="shared" si="5"/>
        <v>9560060.8100000005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13274017.16</v>
      </c>
      <c r="G257" s="41">
        <f t="shared" si="8"/>
        <v>6143317.6899999995</v>
      </c>
      <c r="H257" s="41">
        <f t="shared" si="8"/>
        <v>3330331.57</v>
      </c>
      <c r="I257" s="41">
        <f t="shared" si="8"/>
        <v>1175092.1600000001</v>
      </c>
      <c r="J257" s="41">
        <f t="shared" si="8"/>
        <v>487944.58</v>
      </c>
      <c r="K257" s="41">
        <f t="shared" si="8"/>
        <v>83630.149999999994</v>
      </c>
      <c r="L257" s="41">
        <f t="shared" si="8"/>
        <v>24494333.310000002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1005000</v>
      </c>
      <c r="L260" s="19">
        <f>SUM(F260:K260)</f>
        <v>1005000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225818.75</v>
      </c>
      <c r="L261" s="19">
        <f>SUM(F261:K261)</f>
        <v>225818.75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0</v>
      </c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>
        <v>0</v>
      </c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1230818.75</v>
      </c>
      <c r="L270" s="41">
        <f t="shared" si="9"/>
        <v>1230818.75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13274017.16</v>
      </c>
      <c r="G271" s="42">
        <f t="shared" si="11"/>
        <v>6143317.6899999995</v>
      </c>
      <c r="H271" s="42">
        <f t="shared" si="11"/>
        <v>3330331.57</v>
      </c>
      <c r="I271" s="42">
        <f t="shared" si="11"/>
        <v>1175092.1600000001</v>
      </c>
      <c r="J271" s="42">
        <f t="shared" si="11"/>
        <v>487944.58</v>
      </c>
      <c r="K271" s="42">
        <f t="shared" si="11"/>
        <v>1314448.8999999999</v>
      </c>
      <c r="L271" s="42">
        <f t="shared" si="11"/>
        <v>25725152.060000002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4795.62+39510.96+4233.04+24511.2+29222.53+9707.02+37326.6+5600+102.77</f>
        <v>155009.74</v>
      </c>
      <c r="G277" s="18">
        <f>7823.91+13535+1070+1171.75+2855.48+2168.89</f>
        <v>28625.03</v>
      </c>
      <c r="H277" s="18">
        <f>4400.93</f>
        <v>4400.93</v>
      </c>
      <c r="I277" s="18">
        <f>2484.57+417.4</f>
        <v>2901.9700000000003</v>
      </c>
      <c r="J277" s="18">
        <f>3080.73</f>
        <v>3080.73</v>
      </c>
      <c r="K277" s="18">
        <f>220.36+1500+544.5+1600.07+50.13</f>
        <v>3915.0600000000004</v>
      </c>
      <c r="L277" s="19">
        <f>SUM(F277:K277)</f>
        <v>197933.46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155009.74</v>
      </c>
      <c r="G290" s="42">
        <f t="shared" si="13"/>
        <v>28625.03</v>
      </c>
      <c r="H290" s="42">
        <f t="shared" si="13"/>
        <v>4400.93</v>
      </c>
      <c r="I290" s="42">
        <f t="shared" si="13"/>
        <v>2901.9700000000003</v>
      </c>
      <c r="J290" s="42">
        <f t="shared" si="13"/>
        <v>3080.73</v>
      </c>
      <c r="K290" s="42">
        <f t="shared" si="13"/>
        <v>3915.0600000000004</v>
      </c>
      <c r="L290" s="41">
        <f t="shared" si="13"/>
        <v>197933.46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4795.62+17000+29222.53</f>
        <v>51018.149999999994</v>
      </c>
      <c r="G296" s="18">
        <f>3902.89</f>
        <v>3902.89</v>
      </c>
      <c r="H296" s="18">
        <f>4400.93</f>
        <v>4400.93</v>
      </c>
      <c r="I296" s="18">
        <f>2484.57</f>
        <v>2484.5700000000002</v>
      </c>
      <c r="J296" s="18">
        <f>3080.73</f>
        <v>3080.73</v>
      </c>
      <c r="K296" s="18">
        <f>337.8</f>
        <v>337.8</v>
      </c>
      <c r="L296" s="19">
        <f>SUM(F296:K296)</f>
        <v>65225.07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51018.149999999994</v>
      </c>
      <c r="G309" s="42">
        <f t="shared" si="15"/>
        <v>3902.89</v>
      </c>
      <c r="H309" s="42">
        <f t="shared" si="15"/>
        <v>4400.93</v>
      </c>
      <c r="I309" s="42">
        <f t="shared" si="15"/>
        <v>2484.5700000000002</v>
      </c>
      <c r="J309" s="42">
        <f t="shared" si="15"/>
        <v>3080.73</v>
      </c>
      <c r="K309" s="42">
        <f t="shared" si="15"/>
        <v>337.8</v>
      </c>
      <c r="L309" s="41">
        <f t="shared" si="15"/>
        <v>65225.07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17000+29222.53</f>
        <v>46222.53</v>
      </c>
      <c r="G315" s="18">
        <f>3536.03</f>
        <v>3536.03</v>
      </c>
      <c r="H315" s="18">
        <f>4400.93</f>
        <v>4400.93</v>
      </c>
      <c r="I315" s="18">
        <f>2484.57</f>
        <v>2484.5700000000002</v>
      </c>
      <c r="J315" s="18">
        <f>3080.73</f>
        <v>3080.73</v>
      </c>
      <c r="K315" s="18">
        <f>754.16</f>
        <v>754.16</v>
      </c>
      <c r="L315" s="19">
        <f>SUM(F315:K315)</f>
        <v>60478.950000000004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5268.68</f>
        <v>5268.68</v>
      </c>
      <c r="G320" s="18">
        <v>413.62</v>
      </c>
      <c r="H320" s="18">
        <f>3325+499.94</f>
        <v>3824.94</v>
      </c>
      <c r="I320" s="18">
        <v>0</v>
      </c>
      <c r="J320" s="18">
        <v>0</v>
      </c>
      <c r="K320" s="18">
        <v>0</v>
      </c>
      <c r="L320" s="19">
        <f t="shared" si="16"/>
        <v>9507.24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51491.21</v>
      </c>
      <c r="G328" s="42">
        <f t="shared" si="17"/>
        <v>3949.65</v>
      </c>
      <c r="H328" s="42">
        <f t="shared" si="17"/>
        <v>8225.8700000000008</v>
      </c>
      <c r="I328" s="42">
        <f t="shared" si="17"/>
        <v>2484.5700000000002</v>
      </c>
      <c r="J328" s="42">
        <f t="shared" si="17"/>
        <v>3080.73</v>
      </c>
      <c r="K328" s="42">
        <f t="shared" si="17"/>
        <v>754.16</v>
      </c>
      <c r="L328" s="41">
        <f t="shared" si="17"/>
        <v>69986.19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257519.09999999998</v>
      </c>
      <c r="G338" s="41">
        <f t="shared" si="20"/>
        <v>36477.57</v>
      </c>
      <c r="H338" s="41">
        <f t="shared" si="20"/>
        <v>17027.730000000003</v>
      </c>
      <c r="I338" s="41">
        <f t="shared" si="20"/>
        <v>7871.1100000000006</v>
      </c>
      <c r="J338" s="41">
        <f t="shared" si="20"/>
        <v>9242.19</v>
      </c>
      <c r="K338" s="41">
        <f t="shared" si="20"/>
        <v>5007.0200000000004</v>
      </c>
      <c r="L338" s="41">
        <f t="shared" si="20"/>
        <v>333144.71999999997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>
        <v>0</v>
      </c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257519.09999999998</v>
      </c>
      <c r="G352" s="41">
        <f>G338</f>
        <v>36477.57</v>
      </c>
      <c r="H352" s="41">
        <f>H338</f>
        <v>17027.730000000003</v>
      </c>
      <c r="I352" s="41">
        <f>I338</f>
        <v>7871.1100000000006</v>
      </c>
      <c r="J352" s="41">
        <f>J338</f>
        <v>9242.19</v>
      </c>
      <c r="K352" s="47">
        <f>K338+K351</f>
        <v>5007.0200000000004</v>
      </c>
      <c r="L352" s="41">
        <f>L338+L351</f>
        <v>333144.71999999997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48123</v>
      </c>
      <c r="G358" s="18">
        <v>26831.5</v>
      </c>
      <c r="H358" s="18">
        <v>1682.99</v>
      </c>
      <c r="I358" s="18">
        <v>46805.120000000003</v>
      </c>
      <c r="J358" s="18">
        <v>558.44000000000005</v>
      </c>
      <c r="K358" s="18">
        <v>15.82</v>
      </c>
      <c r="L358" s="13">
        <f>SUM(F358:K358)</f>
        <v>124016.87000000002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76298.350000000006</v>
      </c>
      <c r="G359" s="18">
        <v>42540.97</v>
      </c>
      <c r="H359" s="18">
        <v>2668.36</v>
      </c>
      <c r="I359" s="18">
        <v>74208.88</v>
      </c>
      <c r="J359" s="18">
        <v>885.4</v>
      </c>
      <c r="K359" s="18">
        <v>25.08</v>
      </c>
      <c r="L359" s="19">
        <f>SUM(F359:K359)</f>
        <v>196627.03999999998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88526.45</v>
      </c>
      <c r="G360" s="18">
        <v>49358.86</v>
      </c>
      <c r="H360" s="18">
        <v>3096.01</v>
      </c>
      <c r="I360" s="18">
        <v>86102.1</v>
      </c>
      <c r="J360" s="18">
        <v>1027.3</v>
      </c>
      <c r="K360" s="18">
        <v>29.1</v>
      </c>
      <c r="L360" s="19">
        <f>SUM(F360:K360)</f>
        <v>228139.82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>
        <v>0</v>
      </c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212947.8</v>
      </c>
      <c r="G362" s="47">
        <f t="shared" si="22"/>
        <v>118731.33</v>
      </c>
      <c r="H362" s="47">
        <f t="shared" si="22"/>
        <v>7447.3600000000006</v>
      </c>
      <c r="I362" s="47">
        <f t="shared" si="22"/>
        <v>207116.1</v>
      </c>
      <c r="J362" s="47">
        <f t="shared" si="22"/>
        <v>2471.1400000000003</v>
      </c>
      <c r="K362" s="47">
        <f t="shared" si="22"/>
        <v>70</v>
      </c>
      <c r="L362" s="47">
        <f t="shared" si="22"/>
        <v>548783.73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46805.12-2583.11</f>
        <v>44222.01</v>
      </c>
      <c r="G367" s="18">
        <f>74208.88-4095.48</f>
        <v>70113.400000000009</v>
      </c>
      <c r="H367" s="18">
        <f>86102.1-4751.85</f>
        <v>81350.25</v>
      </c>
      <c r="I367" s="56">
        <f>SUM(F367:H367)</f>
        <v>195685.66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2583.11</v>
      </c>
      <c r="G368" s="63">
        <v>4095.48</v>
      </c>
      <c r="H368" s="63">
        <v>4751.8500000000004</v>
      </c>
      <c r="I368" s="56">
        <f>SUM(F368:H368)</f>
        <v>11430.44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46805.120000000003</v>
      </c>
      <c r="G369" s="47">
        <f>SUM(G367:G368)</f>
        <v>74208.88</v>
      </c>
      <c r="H369" s="47">
        <f>SUM(H367:H368)</f>
        <v>86102.1</v>
      </c>
      <c r="I369" s="47">
        <f>SUM(I367:I368)</f>
        <v>207116.1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0</v>
      </c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>
        <v>0</v>
      </c>
      <c r="G388" s="18">
        <v>0</v>
      </c>
      <c r="H388" s="18">
        <f>4921.09-956.18+16.95-3.29+8512.68-1654.03+1657.53-322.06</f>
        <v>12172.69</v>
      </c>
      <c r="I388" s="18">
        <v>0</v>
      </c>
      <c r="J388" s="24" t="s">
        <v>289</v>
      </c>
      <c r="K388" s="24" t="s">
        <v>289</v>
      </c>
      <c r="L388" s="56">
        <f t="shared" si="25"/>
        <v>12172.69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12172.69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12172.69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>
        <v>0</v>
      </c>
      <c r="G397" s="18">
        <v>0</v>
      </c>
      <c r="H397" s="18">
        <f>6601.21-1282.62</f>
        <v>5318.59</v>
      </c>
      <c r="I397" s="18">
        <v>0</v>
      </c>
      <c r="J397" s="24" t="s">
        <v>289</v>
      </c>
      <c r="K397" s="24" t="s">
        <v>289</v>
      </c>
      <c r="L397" s="56">
        <f t="shared" si="26"/>
        <v>5318.59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>
        <v>0</v>
      </c>
      <c r="G400" s="18">
        <v>0</v>
      </c>
      <c r="H400" s="18">
        <v>0</v>
      </c>
      <c r="I400" s="18">
        <v>0</v>
      </c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5318.59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5318.59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17491.28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17491.28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0</v>
      </c>
      <c r="G439" s="18">
        <v>0</v>
      </c>
      <c r="H439" s="18">
        <v>0</v>
      </c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f>235900.09+8588+512372.44+142439.63-24510</f>
        <v>874790.16</v>
      </c>
      <c r="G440" s="18">
        <v>356780.27</v>
      </c>
      <c r="H440" s="18">
        <v>0</v>
      </c>
      <c r="I440" s="56">
        <f t="shared" si="33"/>
        <v>1231570.4300000002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874790.16</v>
      </c>
      <c r="G446" s="13">
        <f>SUM(G439:G445)</f>
        <v>356780.27</v>
      </c>
      <c r="H446" s="13">
        <f>SUM(H439:H445)</f>
        <v>0</v>
      </c>
      <c r="I446" s="13">
        <f>SUM(I439:I445)</f>
        <v>1231570.4300000002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899300.16-24510</f>
        <v>874790.16</v>
      </c>
      <c r="G459" s="18">
        <v>356780.27</v>
      </c>
      <c r="H459" s="18">
        <v>0</v>
      </c>
      <c r="I459" s="56">
        <f t="shared" si="34"/>
        <v>1231570.4300000002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874790.16</v>
      </c>
      <c r="G460" s="83">
        <f>SUM(G454:G459)</f>
        <v>356780.27</v>
      </c>
      <c r="H460" s="83">
        <f>SUM(H454:H459)</f>
        <v>0</v>
      </c>
      <c r="I460" s="83">
        <f>SUM(I454:I459)</f>
        <v>1231570.4300000002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874790.16</v>
      </c>
      <c r="G461" s="42">
        <f>G452+G460</f>
        <v>356780.27</v>
      </c>
      <c r="H461" s="42">
        <f>H452+H460</f>
        <v>0</v>
      </c>
      <c r="I461" s="42">
        <f>I452+I460</f>
        <v>1231570.4300000002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463376</v>
      </c>
      <c r="G465" s="18">
        <v>40721.480000000003</v>
      </c>
      <c r="H465" s="18">
        <v>0</v>
      </c>
      <c r="I465" s="18">
        <v>0</v>
      </c>
      <c r="J465" s="18">
        <f>1256080.43-42001.28</f>
        <v>1214079.1499999999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26179237.509999998</v>
      </c>
      <c r="G468" s="18">
        <f>G193</f>
        <v>555673.62</v>
      </c>
      <c r="H468" s="18">
        <f>H193</f>
        <v>333144.71999999997</v>
      </c>
      <c r="I468" s="18">
        <f>I193</f>
        <v>0</v>
      </c>
      <c r="J468" s="18">
        <f>L408</f>
        <v>17491.28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0</v>
      </c>
      <c r="G469" s="18">
        <v>0</v>
      </c>
      <c r="H469" s="18">
        <v>0</v>
      </c>
      <c r="I469" s="18">
        <v>0</v>
      </c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26179237.509999998</v>
      </c>
      <c r="G470" s="53">
        <f>SUM(G468:G469)</f>
        <v>555673.62</v>
      </c>
      <c r="H470" s="53">
        <f>SUM(H468:H469)</f>
        <v>333144.71999999997</v>
      </c>
      <c r="I470" s="53">
        <f>SUM(I468:I469)</f>
        <v>0</v>
      </c>
      <c r="J470" s="53">
        <f>SUM(J468:J469)</f>
        <v>17491.28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25725152.060000002</v>
      </c>
      <c r="G472" s="18">
        <f>L362</f>
        <v>548783.73</v>
      </c>
      <c r="H472" s="18">
        <f>L352</f>
        <v>333144.71999999997</v>
      </c>
      <c r="I472" s="18">
        <f>L382</f>
        <v>0</v>
      </c>
      <c r="J472" s="18">
        <f>L434</f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0</v>
      </c>
      <c r="G473" s="18">
        <v>0</v>
      </c>
      <c r="H473" s="18">
        <v>0</v>
      </c>
      <c r="I473" s="18">
        <v>0</v>
      </c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25725152.060000002</v>
      </c>
      <c r="G474" s="53">
        <f>SUM(G472:G473)</f>
        <v>548783.73</v>
      </c>
      <c r="H474" s="53">
        <f>SUM(H472:H473)</f>
        <v>333144.71999999997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917461.44999999553</v>
      </c>
      <c r="G476" s="53">
        <f>(G465+G470)- G474</f>
        <v>47611.369999999995</v>
      </c>
      <c r="H476" s="53">
        <f>(H465+H470)- H474</f>
        <v>0</v>
      </c>
      <c r="I476" s="53">
        <f>(I465+I470)- I474</f>
        <v>0</v>
      </c>
      <c r="J476" s="53">
        <f>(J465+J470)- J474</f>
        <v>1231570.43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914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915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16157528</v>
      </c>
      <c r="G493" s="18">
        <v>4027000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5.7</v>
      </c>
      <c r="G494" s="18">
        <v>4.4000000000000004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2415000</v>
      </c>
      <c r="G495" s="18">
        <v>2600000</v>
      </c>
      <c r="H495" s="18"/>
      <c r="I495" s="18"/>
      <c r="J495" s="18"/>
      <c r="K495" s="53">
        <f>SUM(F495:J495)</f>
        <v>5015000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805000</v>
      </c>
      <c r="G497" s="18">
        <v>200000</v>
      </c>
      <c r="H497" s="18"/>
      <c r="I497" s="18"/>
      <c r="J497" s="18"/>
      <c r="K497" s="53">
        <f t="shared" si="35"/>
        <v>1005000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1610000</v>
      </c>
      <c r="G498" s="204">
        <v>2400000</v>
      </c>
      <c r="H498" s="204"/>
      <c r="I498" s="204"/>
      <c r="J498" s="204"/>
      <c r="K498" s="205">
        <f t="shared" si="35"/>
        <v>4010000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46287.5+23143.75+23143.75</f>
        <v>92575</v>
      </c>
      <c r="G499" s="18">
        <f>1063261-110100</f>
        <v>953161</v>
      </c>
      <c r="H499" s="18"/>
      <c r="I499" s="18"/>
      <c r="J499" s="18"/>
      <c r="K499" s="53">
        <f t="shared" si="35"/>
        <v>1045736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1702575</v>
      </c>
      <c r="G500" s="42">
        <f>SUM(G498:G499)</f>
        <v>3353161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5055736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805000</v>
      </c>
      <c r="G501" s="204">
        <v>200000</v>
      </c>
      <c r="H501" s="204"/>
      <c r="I501" s="204"/>
      <c r="J501" s="204"/>
      <c r="K501" s="205">
        <f t="shared" si="35"/>
        <v>1005000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46287.5+23143.75</f>
        <v>69431.25</v>
      </c>
      <c r="G502" s="18">
        <f>52900+48600</f>
        <v>101500</v>
      </c>
      <c r="H502" s="18"/>
      <c r="I502" s="18"/>
      <c r="J502" s="18"/>
      <c r="K502" s="53">
        <f t="shared" si="35"/>
        <v>170931.25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874431.25</v>
      </c>
      <c r="G503" s="42">
        <f>SUM(G501:G502)</f>
        <v>301500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1175931.25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F198+F277-F557-F562-F567</f>
        <v>899687.77</v>
      </c>
      <c r="G521" s="18">
        <f t="shared" ref="G521:K521" si="36">G198+G277-G557-G562-G567</f>
        <v>363591.13</v>
      </c>
      <c r="H521" s="18">
        <f t="shared" si="36"/>
        <v>132649.57</v>
      </c>
      <c r="I521" s="18">
        <f t="shared" si="36"/>
        <v>4239.8700000000008</v>
      </c>
      <c r="J521" s="18">
        <f t="shared" si="36"/>
        <v>6215.73</v>
      </c>
      <c r="K521" s="18">
        <f t="shared" si="36"/>
        <v>2194.7000000000003</v>
      </c>
      <c r="L521" s="88">
        <f>SUM(F521:K521)</f>
        <v>1408578.77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F216+F296-F558-F563-F568</f>
        <v>828533.59</v>
      </c>
      <c r="G522" s="18">
        <f t="shared" ref="G522:K522" si="37">G216+G296-G558-G563-G568</f>
        <v>350832.52</v>
      </c>
      <c r="H522" s="18">
        <f t="shared" si="37"/>
        <v>524527.97000000009</v>
      </c>
      <c r="I522" s="18">
        <f t="shared" si="37"/>
        <v>5832.55</v>
      </c>
      <c r="J522" s="18">
        <f t="shared" si="37"/>
        <v>5288.63</v>
      </c>
      <c r="K522" s="18">
        <f t="shared" si="37"/>
        <v>337.8</v>
      </c>
      <c r="L522" s="88">
        <f>SUM(F522:K522)</f>
        <v>1715353.06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F234+F315-F559-F564-F569</f>
        <v>812228.7</v>
      </c>
      <c r="G523" s="18">
        <f t="shared" ref="G523:K523" si="38">G234+G315-G559-G564-G569</f>
        <v>345330.19</v>
      </c>
      <c r="H523" s="18">
        <f t="shared" si="38"/>
        <v>516062.73</v>
      </c>
      <c r="I523" s="18">
        <f t="shared" si="38"/>
        <v>9250.2800000000007</v>
      </c>
      <c r="J523" s="18">
        <f t="shared" si="38"/>
        <v>13545.119999999999</v>
      </c>
      <c r="K523" s="18">
        <f t="shared" si="38"/>
        <v>754.16</v>
      </c>
      <c r="L523" s="88">
        <f>SUM(F523:K523)</f>
        <v>1697171.18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2540450.0599999996</v>
      </c>
      <c r="G524" s="108">
        <f t="shared" ref="G524:L524" si="39">SUM(G521:G523)</f>
        <v>1059753.8400000001</v>
      </c>
      <c r="H524" s="108">
        <f t="shared" si="39"/>
        <v>1173240.27</v>
      </c>
      <c r="I524" s="108">
        <f t="shared" si="39"/>
        <v>19322.700000000004</v>
      </c>
      <c r="J524" s="108">
        <f t="shared" si="39"/>
        <v>25049.48</v>
      </c>
      <c r="K524" s="108">
        <f t="shared" si="39"/>
        <v>3286.6600000000003</v>
      </c>
      <c r="L524" s="89">
        <f t="shared" si="39"/>
        <v>4821103.01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23302.74+296050.91+124464.04</f>
        <v>443817.68999999994</v>
      </c>
      <c r="G526" s="18">
        <f>15609.11+135050.9+57721.45</f>
        <v>208381.46000000002</v>
      </c>
      <c r="H526" s="18">
        <f>892.38+1547.99+10479.31+52001.8+545.57</f>
        <v>65467.05</v>
      </c>
      <c r="I526" s="18">
        <f>35.5+919.84+786.39</f>
        <v>1741.73</v>
      </c>
      <c r="J526" s="18">
        <f>424.84+1693.69</f>
        <v>2118.5300000000002</v>
      </c>
      <c r="K526" s="18">
        <v>0</v>
      </c>
      <c r="L526" s="88">
        <f>SUM(F526:K526)</f>
        <v>721526.46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31990.11+51683.11+62232.02</f>
        <v>145905.24</v>
      </c>
      <c r="G527" s="18">
        <f>21428.26+23576.52+28860.73</f>
        <v>73865.509999999995</v>
      </c>
      <c r="H527" s="18">
        <f>1225.06+253.89+1718.72+26000.9</f>
        <v>29198.57</v>
      </c>
      <c r="I527" s="18">
        <f>48.74+150.86+393.2</f>
        <v>592.79999999999995</v>
      </c>
      <c r="J527" s="18">
        <f>69.68+846.85</f>
        <v>916.53</v>
      </c>
      <c r="K527" s="18">
        <v>0</v>
      </c>
      <c r="L527" s="88">
        <f>SUM(F527:K527)</f>
        <v>250478.65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32075.33+51683.11</f>
        <v>83758.44</v>
      </c>
      <c r="G528" s="18">
        <f>21485.34+23576.52</f>
        <v>45061.86</v>
      </c>
      <c r="H528" s="18">
        <f>1228.32+253.89+1718.72</f>
        <v>3200.9300000000003</v>
      </c>
      <c r="I528" s="18">
        <f>48.87+150.86</f>
        <v>199.73000000000002</v>
      </c>
      <c r="J528" s="18">
        <v>69.680000000000007</v>
      </c>
      <c r="K528" s="18">
        <v>0</v>
      </c>
      <c r="L528" s="88">
        <f>SUM(F528:K528)</f>
        <v>132290.64000000001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673481.36999999988</v>
      </c>
      <c r="G529" s="89">
        <f t="shared" ref="G529:L529" si="40">SUM(G526:G528)</f>
        <v>327308.83</v>
      </c>
      <c r="H529" s="89">
        <f t="shared" si="40"/>
        <v>97866.549999999988</v>
      </c>
      <c r="I529" s="89">
        <f t="shared" si="40"/>
        <v>2534.2599999999998</v>
      </c>
      <c r="J529" s="89">
        <f t="shared" si="40"/>
        <v>3104.7400000000002</v>
      </c>
      <c r="K529" s="89">
        <f t="shared" si="40"/>
        <v>0</v>
      </c>
      <c r="L529" s="89">
        <f t="shared" si="40"/>
        <v>1104295.75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37813.67</v>
      </c>
      <c r="G531" s="18">
        <v>13290</v>
      </c>
      <c r="H531" s="18">
        <v>0</v>
      </c>
      <c r="I531" s="18">
        <v>0</v>
      </c>
      <c r="J531" s="18">
        <v>0</v>
      </c>
      <c r="K531" s="18">
        <v>0</v>
      </c>
      <c r="L531" s="88">
        <f>SUM(F531:K531)</f>
        <v>51103.67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37813.67</v>
      </c>
      <c r="G532" s="18">
        <v>13290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51103.67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37813.660000000003</v>
      </c>
      <c r="G533" s="18">
        <v>13290</v>
      </c>
      <c r="H533" s="18">
        <v>0</v>
      </c>
      <c r="I533" s="18">
        <v>0</v>
      </c>
      <c r="J533" s="18">
        <v>0</v>
      </c>
      <c r="K533" s="18">
        <v>0</v>
      </c>
      <c r="L533" s="88">
        <f>SUM(F533:K533)</f>
        <v>51103.66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113441</v>
      </c>
      <c r="G534" s="89">
        <f t="shared" ref="G534:L534" si="41">SUM(G531:G533)</f>
        <v>39870</v>
      </c>
      <c r="H534" s="89">
        <f t="shared" si="41"/>
        <v>0</v>
      </c>
      <c r="I534" s="89">
        <f t="shared" si="41"/>
        <v>0</v>
      </c>
      <c r="J534" s="89">
        <f t="shared" si="41"/>
        <v>0</v>
      </c>
      <c r="K534" s="89">
        <f t="shared" si="41"/>
        <v>0</v>
      </c>
      <c r="L534" s="89">
        <f t="shared" si="41"/>
        <v>153311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2">SUM(G536:G538)</f>
        <v>0</v>
      </c>
      <c r="H539" s="89">
        <f t="shared" si="42"/>
        <v>0</v>
      </c>
      <c r="I539" s="89">
        <f t="shared" si="42"/>
        <v>0</v>
      </c>
      <c r="J539" s="89">
        <f t="shared" si="42"/>
        <v>0</v>
      </c>
      <c r="K539" s="89">
        <f t="shared" si="42"/>
        <v>0</v>
      </c>
      <c r="L539" s="89">
        <f t="shared" si="42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18796.099999999999</v>
      </c>
      <c r="G541" s="18">
        <v>1929.9</v>
      </c>
      <c r="H541" s="18">
        <v>78900.83</v>
      </c>
      <c r="I541" s="18">
        <v>0</v>
      </c>
      <c r="J541" s="18">
        <v>0</v>
      </c>
      <c r="K541" s="18">
        <v>0</v>
      </c>
      <c r="L541" s="88">
        <f>SUM(F541:K541)</f>
        <v>99626.83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18796.099999999999</v>
      </c>
      <c r="G542" s="18">
        <v>1929.9</v>
      </c>
      <c r="H542" s="18">
        <v>78900.83</v>
      </c>
      <c r="I542" s="18">
        <v>0</v>
      </c>
      <c r="J542" s="18">
        <v>0</v>
      </c>
      <c r="K542" s="18">
        <v>0</v>
      </c>
      <c r="L542" s="88">
        <f>SUM(F542:K542)</f>
        <v>99626.83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18796.09</v>
      </c>
      <c r="G543" s="18">
        <v>1929.9</v>
      </c>
      <c r="H543" s="18">
        <v>78900.84</v>
      </c>
      <c r="I543" s="18">
        <v>0</v>
      </c>
      <c r="J543" s="18">
        <v>0</v>
      </c>
      <c r="K543" s="18">
        <v>0</v>
      </c>
      <c r="L543" s="88">
        <f>SUM(F543:K543)</f>
        <v>99626.83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56388.289999999994</v>
      </c>
      <c r="G544" s="193">
        <f t="shared" ref="G544:L544" si="43">SUM(G541:G543)</f>
        <v>5789.7000000000007</v>
      </c>
      <c r="H544" s="193">
        <f t="shared" si="43"/>
        <v>236702.5</v>
      </c>
      <c r="I544" s="193">
        <f t="shared" si="43"/>
        <v>0</v>
      </c>
      <c r="J544" s="193">
        <f t="shared" si="43"/>
        <v>0</v>
      </c>
      <c r="K544" s="193">
        <f t="shared" si="43"/>
        <v>0</v>
      </c>
      <c r="L544" s="193">
        <f t="shared" si="43"/>
        <v>298880.49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3383760.7199999997</v>
      </c>
      <c r="G545" s="89">
        <f t="shared" ref="G545:L545" si="44">G524+G529+G534+G539+G544</f>
        <v>1432722.37</v>
      </c>
      <c r="H545" s="89">
        <f t="shared" si="44"/>
        <v>1507809.32</v>
      </c>
      <c r="I545" s="89">
        <f t="shared" si="44"/>
        <v>21856.960000000003</v>
      </c>
      <c r="J545" s="89">
        <f t="shared" si="44"/>
        <v>28154.22</v>
      </c>
      <c r="K545" s="89">
        <f t="shared" si="44"/>
        <v>3286.6600000000003</v>
      </c>
      <c r="L545" s="89">
        <f t="shared" si="44"/>
        <v>6377590.25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1408578.77</v>
      </c>
      <c r="G549" s="87">
        <f>L526</f>
        <v>721526.46</v>
      </c>
      <c r="H549" s="87">
        <f>L531</f>
        <v>51103.67</v>
      </c>
      <c r="I549" s="87">
        <f>L536</f>
        <v>0</v>
      </c>
      <c r="J549" s="87">
        <f>L541</f>
        <v>99626.83</v>
      </c>
      <c r="K549" s="87">
        <f>SUM(F549:J549)</f>
        <v>2280835.73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1715353.06</v>
      </c>
      <c r="G550" s="87">
        <f>L527</f>
        <v>250478.65</v>
      </c>
      <c r="H550" s="87">
        <f>L532</f>
        <v>51103.67</v>
      </c>
      <c r="I550" s="87">
        <f>L537</f>
        <v>0</v>
      </c>
      <c r="J550" s="87">
        <f>L542</f>
        <v>99626.83</v>
      </c>
      <c r="K550" s="87">
        <f>SUM(F550:J550)</f>
        <v>2116562.21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1697171.18</v>
      </c>
      <c r="G551" s="87">
        <f>L528</f>
        <v>132290.64000000001</v>
      </c>
      <c r="H551" s="87">
        <f>L533</f>
        <v>51103.66</v>
      </c>
      <c r="I551" s="87">
        <f>L538</f>
        <v>0</v>
      </c>
      <c r="J551" s="87">
        <f>L543</f>
        <v>99626.83</v>
      </c>
      <c r="K551" s="87">
        <f>SUM(F551:J551)</f>
        <v>1980192.3099999998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5">SUM(F549:F551)</f>
        <v>4821103.01</v>
      </c>
      <c r="G552" s="89">
        <f t="shared" si="45"/>
        <v>1104295.75</v>
      </c>
      <c r="H552" s="89">
        <f t="shared" si="45"/>
        <v>153311</v>
      </c>
      <c r="I552" s="89">
        <f t="shared" si="45"/>
        <v>0</v>
      </c>
      <c r="J552" s="89">
        <f t="shared" si="45"/>
        <v>298880.49</v>
      </c>
      <c r="K552" s="89">
        <f t="shared" si="45"/>
        <v>6377590.2499999991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f>9717.02+37326.6+5600</f>
        <v>52643.619999999995</v>
      </c>
      <c r="G557" s="18">
        <f>13535+1070+1171.75+2855.48+2168.89</f>
        <v>20801.12</v>
      </c>
      <c r="H557" s="18">
        <f>417.4</f>
        <v>417.4</v>
      </c>
      <c r="I557" s="18">
        <v>0</v>
      </c>
      <c r="J557" s="18">
        <v>0</v>
      </c>
      <c r="K557" s="18">
        <f>220.36+1500</f>
        <v>1720.3600000000001</v>
      </c>
      <c r="L557" s="88">
        <f>SUM(F557:K557)</f>
        <v>75582.499999999985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6">SUM(F557:F559)</f>
        <v>52643.619999999995</v>
      </c>
      <c r="G560" s="108">
        <f t="shared" si="46"/>
        <v>20801.12</v>
      </c>
      <c r="H560" s="108">
        <f t="shared" si="46"/>
        <v>417.4</v>
      </c>
      <c r="I560" s="108">
        <f t="shared" si="46"/>
        <v>0</v>
      </c>
      <c r="J560" s="108">
        <f t="shared" si="46"/>
        <v>0</v>
      </c>
      <c r="K560" s="108">
        <f t="shared" si="46"/>
        <v>1720.3600000000001</v>
      </c>
      <c r="L560" s="89">
        <f t="shared" si="46"/>
        <v>75582.499999999985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0</v>
      </c>
      <c r="G562" s="18">
        <v>0</v>
      </c>
      <c r="H562" s="18">
        <v>7128.84</v>
      </c>
      <c r="I562" s="18">
        <v>0</v>
      </c>
      <c r="J562" s="18">
        <v>0</v>
      </c>
      <c r="K562" s="18">
        <v>0</v>
      </c>
      <c r="L562" s="88">
        <f>SUM(F562:K562)</f>
        <v>7128.84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0</v>
      </c>
      <c r="G563" s="18">
        <v>0</v>
      </c>
      <c r="H563" s="18">
        <v>7128.84</v>
      </c>
      <c r="I563" s="18">
        <v>0</v>
      </c>
      <c r="J563" s="18">
        <v>0</v>
      </c>
      <c r="K563" s="18">
        <v>0</v>
      </c>
      <c r="L563" s="88">
        <f>SUM(F563:K563)</f>
        <v>7128.84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0</v>
      </c>
      <c r="G564" s="18">
        <v>0</v>
      </c>
      <c r="H564" s="18">
        <v>7128.84</v>
      </c>
      <c r="I564" s="18">
        <v>0</v>
      </c>
      <c r="J564" s="18">
        <v>0</v>
      </c>
      <c r="K564" s="18">
        <v>0</v>
      </c>
      <c r="L564" s="88">
        <f>SUM(F564:K564)</f>
        <v>7128.84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7">SUM(F562:F564)</f>
        <v>0</v>
      </c>
      <c r="G565" s="89">
        <f t="shared" si="47"/>
        <v>0</v>
      </c>
      <c r="H565" s="89">
        <f t="shared" si="47"/>
        <v>21386.52</v>
      </c>
      <c r="I565" s="89">
        <f t="shared" si="47"/>
        <v>0</v>
      </c>
      <c r="J565" s="89">
        <f t="shared" si="47"/>
        <v>0</v>
      </c>
      <c r="K565" s="89">
        <f t="shared" si="47"/>
        <v>0</v>
      </c>
      <c r="L565" s="89">
        <f t="shared" si="47"/>
        <v>21386.52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f>62965.95</f>
        <v>62965.95</v>
      </c>
      <c r="G567" s="18">
        <v>20973.11</v>
      </c>
      <c r="H567" s="18">
        <v>0</v>
      </c>
      <c r="I567" s="18">
        <f>1926.45+231.86</f>
        <v>2158.31</v>
      </c>
      <c r="J567" s="18">
        <v>0</v>
      </c>
      <c r="K567" s="18">
        <v>0</v>
      </c>
      <c r="L567" s="88">
        <f>SUM(F567:K567)</f>
        <v>86097.37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67620</v>
      </c>
      <c r="G568" s="18">
        <v>22523.32</v>
      </c>
      <c r="H568" s="18">
        <v>0</v>
      </c>
      <c r="I568" s="18">
        <f>945+292.71</f>
        <v>1237.71</v>
      </c>
      <c r="J568" s="18">
        <v>0</v>
      </c>
      <c r="K568" s="18">
        <v>0</v>
      </c>
      <c r="L568" s="88">
        <f>SUM(F568:K568)</f>
        <v>91381.030000000013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130585.95</v>
      </c>
      <c r="G570" s="193">
        <f t="shared" ref="G570:L570" si="48">SUM(G567:G569)</f>
        <v>43496.43</v>
      </c>
      <c r="H570" s="193">
        <f t="shared" si="48"/>
        <v>0</v>
      </c>
      <c r="I570" s="193">
        <f t="shared" si="48"/>
        <v>3396.02</v>
      </c>
      <c r="J570" s="193">
        <f t="shared" si="48"/>
        <v>0</v>
      </c>
      <c r="K570" s="193">
        <f t="shared" si="48"/>
        <v>0</v>
      </c>
      <c r="L570" s="193">
        <f t="shared" si="48"/>
        <v>177478.40000000002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183229.57</v>
      </c>
      <c r="G571" s="89">
        <f t="shared" ref="G571:L571" si="49">G560+G565+G570</f>
        <v>64297.55</v>
      </c>
      <c r="H571" s="89">
        <f t="shared" si="49"/>
        <v>21803.920000000002</v>
      </c>
      <c r="I571" s="89">
        <f t="shared" si="49"/>
        <v>3396.02</v>
      </c>
      <c r="J571" s="89">
        <f t="shared" si="49"/>
        <v>0</v>
      </c>
      <c r="K571" s="89">
        <f t="shared" si="49"/>
        <v>1720.3600000000001</v>
      </c>
      <c r="L571" s="89">
        <f t="shared" si="49"/>
        <v>274447.42000000004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0</v>
      </c>
      <c r="G575" s="18">
        <v>0</v>
      </c>
      <c r="H575" s="18">
        <v>0</v>
      </c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50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0</v>
      </c>
      <c r="I577" s="87">
        <f t="shared" si="50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50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0</v>
      </c>
      <c r="G579" s="18">
        <v>0</v>
      </c>
      <c r="H579" s="18">
        <f>18408</f>
        <v>18408</v>
      </c>
      <c r="I579" s="87">
        <f t="shared" si="50"/>
        <v>18408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50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0</v>
      </c>
      <c r="I581" s="87">
        <f t="shared" si="50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1911</v>
      </c>
      <c r="G582" s="18">
        <f>338334.32+7782.84</f>
        <v>346117.16000000003</v>
      </c>
      <c r="H582" s="18">
        <f>336745.77-H579</f>
        <v>318337.77</v>
      </c>
      <c r="I582" s="87">
        <f t="shared" si="50"/>
        <v>666365.93000000005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50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>
        <v>0</v>
      </c>
      <c r="G584" s="18">
        <v>0</v>
      </c>
      <c r="H584" s="18">
        <v>86112.98</v>
      </c>
      <c r="I584" s="87">
        <f t="shared" si="50"/>
        <v>86112.98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>
        <v>0</v>
      </c>
      <c r="G585" s="18">
        <v>0</v>
      </c>
      <c r="H585" s="18">
        <v>0</v>
      </c>
      <c r="I585" s="87">
        <f t="shared" si="50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>
        <v>0</v>
      </c>
      <c r="I586" s="87">
        <f t="shared" si="50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>
        <v>0</v>
      </c>
      <c r="G587" s="18">
        <v>0</v>
      </c>
      <c r="H587" s="18">
        <v>0</v>
      </c>
      <c r="I587" s="87">
        <f t="shared" si="50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149324.87</f>
        <v>149324.87</v>
      </c>
      <c r="I591" s="18">
        <f>149324.87</f>
        <v>149324.87</v>
      </c>
      <c r="J591" s="18">
        <f>45946.09</f>
        <v>45946.09</v>
      </c>
      <c r="K591" s="104">
        <f t="shared" ref="K591:K597" si="51">SUM(H591:J591)</f>
        <v>344595.82999999996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J549</f>
        <v>99626.83</v>
      </c>
      <c r="I592" s="18">
        <f>J550</f>
        <v>99626.83</v>
      </c>
      <c r="J592" s="18">
        <f>J551</f>
        <v>99626.83</v>
      </c>
      <c r="K592" s="104">
        <f t="shared" si="51"/>
        <v>298880.49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f>11471.15+934.21</f>
        <v>12405.36</v>
      </c>
      <c r="K593" s="104">
        <f t="shared" si="51"/>
        <v>12405.36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0</v>
      </c>
      <c r="I594" s="18">
        <v>7554.56</v>
      </c>
      <c r="J594" s="18">
        <f>21824.27+2023.93</f>
        <v>23848.2</v>
      </c>
      <c r="K594" s="104">
        <f t="shared" si="51"/>
        <v>31402.760000000002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932.72</v>
      </c>
      <c r="I595" s="18">
        <v>6062.68</v>
      </c>
      <c r="J595" s="18">
        <v>12591.73</v>
      </c>
      <c r="K595" s="104">
        <f t="shared" si="51"/>
        <v>19587.13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51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182467.11</v>
      </c>
      <c r="I597" s="18">
        <v>182467.11</v>
      </c>
      <c r="J597" s="18">
        <v>56143.72</v>
      </c>
      <c r="K597" s="104">
        <f t="shared" si="51"/>
        <v>421077.93999999994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432351.53</v>
      </c>
      <c r="I598" s="108">
        <f>SUM(I591:I597)</f>
        <v>445036.05</v>
      </c>
      <c r="J598" s="108">
        <f>SUM(J591:J597)</f>
        <v>250561.93</v>
      </c>
      <c r="K598" s="108">
        <f>SUM(K591:K597)</f>
        <v>1127949.5099999998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J211+J309</f>
        <v>144713.85</v>
      </c>
      <c r="I604" s="18">
        <f>J229+J309</f>
        <v>183612.16</v>
      </c>
      <c r="J604" s="18">
        <f>J247+J328</f>
        <v>168860.76000000004</v>
      </c>
      <c r="K604" s="104">
        <f>SUM(H604:J604)</f>
        <v>497186.77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144713.85</v>
      </c>
      <c r="I605" s="108">
        <f>SUM(I602:I604)</f>
        <v>183612.16</v>
      </c>
      <c r="J605" s="108">
        <f>SUM(J602:J604)</f>
        <v>168860.76000000004</v>
      </c>
      <c r="K605" s="108">
        <f>SUM(K602:K604)</f>
        <v>497186.77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8400</v>
      </c>
      <c r="G613" s="18">
        <v>1161.18</v>
      </c>
      <c r="H613" s="18">
        <v>0</v>
      </c>
      <c r="I613" s="18">
        <v>0</v>
      </c>
      <c r="J613" s="18">
        <v>0</v>
      </c>
      <c r="K613" s="18">
        <v>0</v>
      </c>
      <c r="L613" s="88">
        <f>SUM(F613:K613)</f>
        <v>9561.18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2">SUM(F611:F613)</f>
        <v>8400</v>
      </c>
      <c r="G614" s="108">
        <f t="shared" si="52"/>
        <v>1161.18</v>
      </c>
      <c r="H614" s="108">
        <f t="shared" si="52"/>
        <v>0</v>
      </c>
      <c r="I614" s="108">
        <f t="shared" si="52"/>
        <v>0</v>
      </c>
      <c r="J614" s="108">
        <f t="shared" si="52"/>
        <v>0</v>
      </c>
      <c r="K614" s="108">
        <f t="shared" si="52"/>
        <v>0</v>
      </c>
      <c r="L614" s="89">
        <f t="shared" si="52"/>
        <v>9561.18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1470150.01</v>
      </c>
      <c r="H617" s="109">
        <f>SUM(F52)</f>
        <v>1470150.0099999956</v>
      </c>
      <c r="I617" s="121" t="s">
        <v>891</v>
      </c>
      <c r="J617" s="109">
        <f>G617-H617</f>
        <v>4.4237822294235229E-9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52802.18</v>
      </c>
      <c r="H618" s="109">
        <f>SUM(G52)</f>
        <v>52802.179999999993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78659.759999999995</v>
      </c>
      <c r="H619" s="109">
        <f>SUM(H52)</f>
        <v>78659.759999999995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1231570.4300000002</v>
      </c>
      <c r="H621" s="109">
        <f>SUM(J52)</f>
        <v>1231570.4300000002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917461.44999999553</v>
      </c>
      <c r="H622" s="109">
        <f>F476</f>
        <v>917461.44999999553</v>
      </c>
      <c r="I622" s="121" t="s">
        <v>101</v>
      </c>
      <c r="J622" s="109">
        <f t="shared" ref="J622:J655" si="53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47611.369999999995</v>
      </c>
      <c r="H623" s="109">
        <f>G476</f>
        <v>47611.369999999995</v>
      </c>
      <c r="I623" s="121" t="s">
        <v>102</v>
      </c>
      <c r="J623" s="109">
        <f t="shared" si="53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3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3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1231570.4300000002</v>
      </c>
      <c r="H626" s="109">
        <f>J476</f>
        <v>1231570.43</v>
      </c>
      <c r="I626" s="140" t="s">
        <v>105</v>
      </c>
      <c r="J626" s="109">
        <f t="shared" si="53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26179237.509999998</v>
      </c>
      <c r="H627" s="104">
        <f>SUM(F468)</f>
        <v>26179237.509999998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555673.62</v>
      </c>
      <c r="H628" s="104">
        <f>SUM(G468)</f>
        <v>555673.62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333144.71999999997</v>
      </c>
      <c r="H629" s="104">
        <f>SUM(H468)</f>
        <v>333144.71999999997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17491.28</v>
      </c>
      <c r="H631" s="104">
        <f>SUM(J468)</f>
        <v>17491.28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25725152.060000002</v>
      </c>
      <c r="H632" s="104">
        <f>SUM(F472)</f>
        <v>25725152.060000002</v>
      </c>
      <c r="I632" s="140" t="s">
        <v>111</v>
      </c>
      <c r="J632" s="109">
        <f t="shared" si="53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333144.71999999997</v>
      </c>
      <c r="H633" s="104">
        <f>SUM(H472)</f>
        <v>333144.71999999997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207116.1</v>
      </c>
      <c r="H634" s="104">
        <f>I369</f>
        <v>207116.1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548783.73</v>
      </c>
      <c r="H635" s="104">
        <f>SUM(G472)</f>
        <v>548783.73</v>
      </c>
      <c r="I635" s="140" t="s">
        <v>114</v>
      </c>
      <c r="J635" s="109">
        <f t="shared" si="53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3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17491.28</v>
      </c>
      <c r="H637" s="164">
        <f>SUM(J468)</f>
        <v>17491.28</v>
      </c>
      <c r="I637" s="165" t="s">
        <v>110</v>
      </c>
      <c r="J637" s="151">
        <f t="shared" si="53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3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874790.16</v>
      </c>
      <c r="H639" s="104">
        <f>SUM(F461)</f>
        <v>874790.16</v>
      </c>
      <c r="I639" s="140" t="s">
        <v>857</v>
      </c>
      <c r="J639" s="109">
        <f t="shared" si="53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356780.27</v>
      </c>
      <c r="H640" s="104">
        <f>SUM(G461)</f>
        <v>356780.27</v>
      </c>
      <c r="I640" s="140" t="s">
        <v>858</v>
      </c>
      <c r="J640" s="109">
        <f t="shared" si="53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3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1231570.4300000002</v>
      </c>
      <c r="H642" s="104">
        <f>SUM(I461)</f>
        <v>1231570.4300000002</v>
      </c>
      <c r="I642" s="140" t="s">
        <v>860</v>
      </c>
      <c r="J642" s="109">
        <f t="shared" si="53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3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17491.28</v>
      </c>
      <c r="H644" s="104">
        <f>H408</f>
        <v>17491.28</v>
      </c>
      <c r="I644" s="140" t="s">
        <v>481</v>
      </c>
      <c r="J644" s="109">
        <f t="shared" si="53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3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17491.28</v>
      </c>
      <c r="H646" s="104">
        <f>L408</f>
        <v>17491.28</v>
      </c>
      <c r="I646" s="140" t="s">
        <v>478</v>
      </c>
      <c r="J646" s="109">
        <f t="shared" si="53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1127949.5099999998</v>
      </c>
      <c r="H647" s="104">
        <f>L208+L226+L244</f>
        <v>1127949.51</v>
      </c>
      <c r="I647" s="140" t="s">
        <v>397</v>
      </c>
      <c r="J647" s="109">
        <f t="shared" si="53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497186.77</v>
      </c>
      <c r="H648" s="104">
        <f>(J257+J338)-(J255+J336)</f>
        <v>497186.77</v>
      </c>
      <c r="I648" s="140" t="s">
        <v>703</v>
      </c>
      <c r="J648" s="109">
        <f t="shared" si="53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432351.53</v>
      </c>
      <c r="H649" s="104">
        <f>H598</f>
        <v>432351.53</v>
      </c>
      <c r="I649" s="140" t="s">
        <v>389</v>
      </c>
      <c r="J649" s="109">
        <f t="shared" si="53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445036.05000000005</v>
      </c>
      <c r="H650" s="104">
        <f>I598</f>
        <v>445036.05</v>
      </c>
      <c r="I650" s="140" t="s">
        <v>390</v>
      </c>
      <c r="J650" s="109">
        <f t="shared" si="53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250561.93</v>
      </c>
      <c r="H651" s="104">
        <f>J598</f>
        <v>250561.93</v>
      </c>
      <c r="I651" s="140" t="s">
        <v>391</v>
      </c>
      <c r="J651" s="109">
        <f t="shared" si="53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3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3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3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3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7083414.0000000009</v>
      </c>
      <c r="G660" s="19">
        <f>(L229+L309+L359)</f>
        <v>8434660.9399999995</v>
      </c>
      <c r="H660" s="19">
        <f>(L247+L328+L360)</f>
        <v>9858186.8200000003</v>
      </c>
      <c r="I660" s="19">
        <f>SUM(F660:H660)</f>
        <v>25376261.760000002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105648.53890167702</v>
      </c>
      <c r="G661" s="19">
        <f>(L359/IF(SUM(L358:L360)=0,1,SUM(L358:L360))*(SUM(G97:G110)))</f>
        <v>167504.30392705119</v>
      </c>
      <c r="H661" s="19">
        <f>(L360/IF(SUM(L358:L360)=0,1,SUM(L358:L360))*(SUM(G97:G110)))</f>
        <v>194349.67717127185</v>
      </c>
      <c r="I661" s="19">
        <f>SUM(F661:H661)</f>
        <v>467502.52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376297.46</v>
      </c>
      <c r="G662" s="19">
        <f>(L226+L306)-(J226+J306)</f>
        <v>388981.98000000004</v>
      </c>
      <c r="H662" s="19">
        <f>(L244+L325)-(J244+J325)</f>
        <v>233314.52</v>
      </c>
      <c r="I662" s="19">
        <f>SUM(F662:H662)</f>
        <v>998593.96000000008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146624.85</v>
      </c>
      <c r="G663" s="199">
        <f>SUM(G575:G587)+SUM(I602:I604)+L612</f>
        <v>529729.32000000007</v>
      </c>
      <c r="H663" s="199">
        <f>SUM(H575:H587)+SUM(J602:J604)+L613</f>
        <v>601280.69000000006</v>
      </c>
      <c r="I663" s="19">
        <f>SUM(F663:H663)</f>
        <v>1277634.8600000001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6454843.151098324</v>
      </c>
      <c r="G664" s="19">
        <f>G660-SUM(G661:G663)</f>
        <v>7348445.3360729478</v>
      </c>
      <c r="H664" s="19">
        <f>H660-SUM(H661:H663)</f>
        <v>8829241.9328287281</v>
      </c>
      <c r="I664" s="19">
        <f>I660-SUM(I661:I663)</f>
        <v>22632530.420000002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374.62</v>
      </c>
      <c r="G665" s="248">
        <v>514.28</v>
      </c>
      <c r="H665" s="248">
        <v>515.65</v>
      </c>
      <c r="I665" s="19">
        <f>SUM(F665:H665)</f>
        <v>1404.55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17230.38</v>
      </c>
      <c r="G667" s="19">
        <f>ROUND(G664/G665,2)</f>
        <v>14288.8</v>
      </c>
      <c r="H667" s="19">
        <f>ROUND(H664/H665,2)</f>
        <v>17122.55</v>
      </c>
      <c r="I667" s="19">
        <f>ROUND(I664/I665,2)</f>
        <v>16113.72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-13.17</v>
      </c>
      <c r="I670" s="19">
        <f>SUM(F670:H670)</f>
        <v>-13.17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17230.38</v>
      </c>
      <c r="G672" s="19">
        <f>ROUND((G664+G669)/(G665+G670),2)</f>
        <v>14288.8</v>
      </c>
      <c r="H672" s="19">
        <f>ROUND((H664+H669)/(H665+H670),2)</f>
        <v>17571.330000000002</v>
      </c>
      <c r="I672" s="19">
        <f>ROUND((I664+I669)/(I665+I670),2)</f>
        <v>16266.25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6"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Bow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6796033.2599999998</v>
      </c>
      <c r="C9" s="229">
        <f>'DOE25'!G197+'DOE25'!G215+'DOE25'!G233+'DOE25'!G276+'DOE25'!G295+'DOE25'!G314</f>
        <v>3302533.33</v>
      </c>
    </row>
    <row r="10" spans="1:3" x14ac:dyDescent="0.2">
      <c r="A10" t="s">
        <v>779</v>
      </c>
      <c r="B10" s="240">
        <f>B9-B11-B12</f>
        <v>6571654.25</v>
      </c>
      <c r="C10" s="240">
        <f>C9-C11-C12</f>
        <v>3203603.4600000004</v>
      </c>
    </row>
    <row r="11" spans="1:3" x14ac:dyDescent="0.2">
      <c r="A11" t="s">
        <v>780</v>
      </c>
      <c r="B11" s="240">
        <f>15506.27+9529.65</f>
        <v>25035.919999999998</v>
      </c>
      <c r="C11" s="240">
        <f>4807.08+857.28</f>
        <v>5664.36</v>
      </c>
    </row>
    <row r="12" spans="1:3" x14ac:dyDescent="0.2">
      <c r="A12" t="s">
        <v>781</v>
      </c>
      <c r="B12" s="240">
        <f>31804.62*3+84460.08+97345.74-77876.59</f>
        <v>199343.09</v>
      </c>
      <c r="C12" s="240">
        <f>15806.35*3+39590.1+31281.81-25025.45</f>
        <v>93265.51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6796033.2599999998</v>
      </c>
      <c r="C13" s="231">
        <f>SUM(C10:C12)</f>
        <v>3302533.33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2723679.63</v>
      </c>
      <c r="C18" s="229">
        <f>'DOE25'!G198+'DOE25'!G216+'DOE25'!G234+'DOE25'!G277+'DOE25'!G296+'DOE25'!G315</f>
        <v>1124051.3899999999</v>
      </c>
    </row>
    <row r="19" spans="1:3" x14ac:dyDescent="0.2">
      <c r="A19" t="s">
        <v>779</v>
      </c>
      <c r="B19" s="240">
        <f>381829.74-41653.74+360629.74-41653.74+319023.2</f>
        <v>978175.2</v>
      </c>
      <c r="C19" s="240">
        <f>199389.51-21311.73+167420.95-21311.73+143509.8</f>
        <v>467696.8</v>
      </c>
    </row>
    <row r="20" spans="1:3" x14ac:dyDescent="0.2">
      <c r="A20" t="s">
        <v>780</v>
      </c>
      <c r="B20" s="240">
        <f>B18-B19-B21</f>
        <v>1662196.95</v>
      </c>
      <c r="C20" s="240">
        <f>C18-C19-C21</f>
        <v>613731.12999999989</v>
      </c>
    </row>
    <row r="21" spans="1:3" x14ac:dyDescent="0.2">
      <c r="A21" t="s">
        <v>781</v>
      </c>
      <c r="B21" s="240">
        <f>41653.74*2</f>
        <v>83307.48</v>
      </c>
      <c r="C21" s="240">
        <f>21311.73*2</f>
        <v>42623.46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2723679.63</v>
      </c>
      <c r="C22" s="231">
        <f>SUM(C19:C21)</f>
        <v>1124051.3899999999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343390.58</v>
      </c>
      <c r="C36" s="235">
        <f>'DOE25'!G200+'DOE25'!G218+'DOE25'!G236+'DOE25'!G279+'DOE25'!G298+'DOE25'!G317</f>
        <v>78491.31</v>
      </c>
    </row>
    <row r="37" spans="1:3" x14ac:dyDescent="0.2">
      <c r="A37" t="s">
        <v>779</v>
      </c>
      <c r="B37" s="240">
        <v>195020.84</v>
      </c>
      <c r="C37" s="240">
        <v>28908.46</v>
      </c>
    </row>
    <row r="38" spans="1:3" x14ac:dyDescent="0.2">
      <c r="A38" t="s">
        <v>780</v>
      </c>
      <c r="B38" s="240">
        <f>B36-B37-B39</f>
        <v>83580.360000000015</v>
      </c>
      <c r="C38" s="240">
        <f>C36-C37-C39</f>
        <v>12389.339999999997</v>
      </c>
    </row>
    <row r="39" spans="1:3" x14ac:dyDescent="0.2">
      <c r="A39" t="s">
        <v>781</v>
      </c>
      <c r="B39" s="240">
        <v>64789.38</v>
      </c>
      <c r="C39" s="240">
        <v>37193.51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343390.58</v>
      </c>
      <c r="C40" s="231">
        <f>SUM(C37:C39)</f>
        <v>78491.31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5" sqref="D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Bow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15893382.119999999</v>
      </c>
      <c r="D5" s="20">
        <f>SUM('DOE25'!L197:L200)+SUM('DOE25'!L215:L218)+SUM('DOE25'!L233:L236)-F5-G5</f>
        <v>15795060.18</v>
      </c>
      <c r="E5" s="243"/>
      <c r="F5" s="255">
        <f>SUM('DOE25'!J197:J200)+SUM('DOE25'!J215:J218)+SUM('DOE25'!J233:J236)</f>
        <v>77374.84</v>
      </c>
      <c r="G5" s="53">
        <f>SUM('DOE25'!K197:K200)+SUM('DOE25'!K215:K218)+SUM('DOE25'!K233:K236)</f>
        <v>20947.099999999999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2162924.54</v>
      </c>
      <c r="D6" s="20">
        <f>'DOE25'!L202+'DOE25'!L220+'DOE25'!L238-F6-G6</f>
        <v>2158040.7999999998</v>
      </c>
      <c r="E6" s="243"/>
      <c r="F6" s="255">
        <f>'DOE25'!J202+'DOE25'!J220+'DOE25'!J238</f>
        <v>4663.7400000000007</v>
      </c>
      <c r="G6" s="53">
        <f>'DOE25'!K202+'DOE25'!K220+'DOE25'!K238</f>
        <v>220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1081497.3999999999</v>
      </c>
      <c r="D7" s="20">
        <f>'DOE25'!L203+'DOE25'!L221+'DOE25'!L239-F7-G7</f>
        <v>813050.97</v>
      </c>
      <c r="E7" s="243"/>
      <c r="F7" s="255">
        <f>'DOE25'!J203+'DOE25'!J221+'DOE25'!J239</f>
        <v>268218.43</v>
      </c>
      <c r="G7" s="53">
        <f>'DOE25'!K203+'DOE25'!K221+'DOE25'!K239</f>
        <v>228</v>
      </c>
      <c r="H7" s="259"/>
    </row>
    <row r="8" spans="1:9" x14ac:dyDescent="0.2">
      <c r="A8" s="32">
        <v>2300</v>
      </c>
      <c r="B8" t="s">
        <v>802</v>
      </c>
      <c r="C8" s="245">
        <f t="shared" si="0"/>
        <v>516792.33</v>
      </c>
      <c r="D8" s="243"/>
      <c r="E8" s="20">
        <f>'DOE25'!L204+'DOE25'!L222+'DOE25'!L240-F8-G8-D9-D11</f>
        <v>472283.89</v>
      </c>
      <c r="F8" s="255">
        <f>'DOE25'!J204+'DOE25'!J222+'DOE25'!J240</f>
        <v>0</v>
      </c>
      <c r="G8" s="53">
        <f>'DOE25'!K204+'DOE25'!K222+'DOE25'!K240</f>
        <v>44508.44</v>
      </c>
      <c r="H8" s="259"/>
    </row>
    <row r="9" spans="1:9" x14ac:dyDescent="0.2">
      <c r="A9" s="32">
        <v>2310</v>
      </c>
      <c r="B9" t="s">
        <v>818</v>
      </c>
      <c r="C9" s="245">
        <f t="shared" si="0"/>
        <v>62445.15</v>
      </c>
      <c r="D9" s="244">
        <v>62445.15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13700</v>
      </c>
      <c r="D10" s="243"/>
      <c r="E10" s="244">
        <v>13700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274981</v>
      </c>
      <c r="D11" s="244">
        <v>274981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1287562.2000000002</v>
      </c>
      <c r="D12" s="20">
        <f>'DOE25'!L205+'DOE25'!L223+'DOE25'!L241-F12-G12</f>
        <v>1272762.2100000002</v>
      </c>
      <c r="E12" s="243"/>
      <c r="F12" s="255">
        <f>'DOE25'!J205+'DOE25'!J223+'DOE25'!J241</f>
        <v>3955.98</v>
      </c>
      <c r="G12" s="53">
        <f>'DOE25'!K205+'DOE25'!K223+'DOE25'!K241</f>
        <v>10844.01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2086799.06</v>
      </c>
      <c r="D14" s="20">
        <f>'DOE25'!L207+'DOE25'!L225+'DOE25'!L243-F14-G14</f>
        <v>2082423.02</v>
      </c>
      <c r="E14" s="243"/>
      <c r="F14" s="255">
        <f>'DOE25'!J207+'DOE25'!J225+'DOE25'!J243</f>
        <v>4376.04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1127949.51</v>
      </c>
      <c r="D15" s="20">
        <f>'DOE25'!L208+'DOE25'!L226+'DOE25'!L244-F15-G15</f>
        <v>991711.36</v>
      </c>
      <c r="E15" s="243"/>
      <c r="F15" s="255">
        <f>'DOE25'!J208+'DOE25'!J226+'DOE25'!J244</f>
        <v>129355.55</v>
      </c>
      <c r="G15" s="53">
        <f>'DOE25'!K208+'DOE25'!K226+'DOE25'!K244</f>
        <v>6882.6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1230818.75</v>
      </c>
      <c r="D25" s="243"/>
      <c r="E25" s="243"/>
      <c r="F25" s="258"/>
      <c r="G25" s="256"/>
      <c r="H25" s="257">
        <f>'DOE25'!L260+'DOE25'!L261+'DOE25'!L341+'DOE25'!L342</f>
        <v>1230818.75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353098.06999999995</v>
      </c>
      <c r="D29" s="20">
        <f>'DOE25'!L358+'DOE25'!L359+'DOE25'!L360-'DOE25'!I367-F29-G29</f>
        <v>350556.92999999993</v>
      </c>
      <c r="E29" s="243"/>
      <c r="F29" s="255">
        <f>'DOE25'!J358+'DOE25'!J359+'DOE25'!J360</f>
        <v>2471.1400000000003</v>
      </c>
      <c r="G29" s="53">
        <f>'DOE25'!K358+'DOE25'!K359+'DOE25'!K360</f>
        <v>70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333144.71999999997</v>
      </c>
      <c r="D31" s="20">
        <f>'DOE25'!L290+'DOE25'!L309+'DOE25'!L328+'DOE25'!L333+'DOE25'!L334+'DOE25'!L335-F31-G31</f>
        <v>318895.50999999995</v>
      </c>
      <c r="E31" s="243"/>
      <c r="F31" s="255">
        <f>'DOE25'!J290+'DOE25'!J309+'DOE25'!J328+'DOE25'!J333+'DOE25'!J334+'DOE25'!J335</f>
        <v>9242.19</v>
      </c>
      <c r="G31" s="53">
        <f>'DOE25'!K290+'DOE25'!K309+'DOE25'!K328+'DOE25'!K333+'DOE25'!K334+'DOE25'!K335</f>
        <v>5007.0200000000004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24119927.129999999</v>
      </c>
      <c r="E33" s="246">
        <f>SUM(E5:E31)</f>
        <v>485983.89</v>
      </c>
      <c r="F33" s="246">
        <f>SUM(F5:F31)</f>
        <v>499657.91</v>
      </c>
      <c r="G33" s="246">
        <f>SUM(G5:G31)</f>
        <v>88707.170000000013</v>
      </c>
      <c r="H33" s="246">
        <f>SUM(H5:H31)</f>
        <v>1230818.75</v>
      </c>
    </row>
    <row r="35" spans="2:8" ht="12" thickBot="1" x14ac:dyDescent="0.25">
      <c r="B35" s="253" t="s">
        <v>847</v>
      </c>
      <c r="D35" s="254">
        <f>E33</f>
        <v>485983.89</v>
      </c>
      <c r="E35" s="249"/>
    </row>
    <row r="36" spans="2:8" ht="12" thickTop="1" x14ac:dyDescent="0.2">
      <c r="B36" t="s">
        <v>815</v>
      </c>
      <c r="D36" s="20">
        <f>D33</f>
        <v>24119927.129999999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60" activePane="bottomLeft" state="frozen"/>
      <selection activeCell="F46" sqref="F46"/>
      <selection pane="bottomLeft" activeCell="G96" sqref="G9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Bow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1405837.15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1231570.4300000002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35544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78659.759999999995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41698</v>
      </c>
      <c r="D13" s="95">
        <f>'DOE25'!G14</f>
        <v>17258.18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22614.86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1470150.01</v>
      </c>
      <c r="D18" s="41">
        <f>SUM(D8:D17)</f>
        <v>52802.18</v>
      </c>
      <c r="E18" s="41">
        <f>SUM(E8:E17)</f>
        <v>78659.759999999995</v>
      </c>
      <c r="F18" s="41">
        <f>SUM(F8:F17)</f>
        <v>0</v>
      </c>
      <c r="G18" s="41">
        <f>SUM(G8:G17)</f>
        <v>1231570.4300000002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-197.28000000002794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75423.23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406020.4</v>
      </c>
      <c r="D23" s="95">
        <f>'DOE25'!G24</f>
        <v>249.74</v>
      </c>
      <c r="E23" s="95">
        <f>'DOE25'!H24</f>
        <v>3236.53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132004.1</v>
      </c>
      <c r="D24" s="95">
        <f>'DOE25'!G25</f>
        <v>4941.07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14861.340000000002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552688.55999999994</v>
      </c>
      <c r="D31" s="41">
        <f>SUM(D21:D30)</f>
        <v>5190.8099999999995</v>
      </c>
      <c r="E31" s="41">
        <f>SUM(E21:E30)</f>
        <v>78659.759999999995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24510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47611.369999999995</v>
      </c>
      <c r="E47" s="95">
        <f>'DOE25'!H48</f>
        <v>0</v>
      </c>
      <c r="F47" s="95">
        <f>'DOE25'!I48</f>
        <v>0</v>
      </c>
      <c r="G47" s="95">
        <f>'DOE25'!J48</f>
        <v>1231570.4300000002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892951.44999999553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917461.44999999553</v>
      </c>
      <c r="D50" s="41">
        <f>SUM(D34:D49)</f>
        <v>47611.369999999995</v>
      </c>
      <c r="E50" s="41">
        <f>SUM(E34:E49)</f>
        <v>0</v>
      </c>
      <c r="F50" s="41">
        <f>SUM(F34:F49)</f>
        <v>0</v>
      </c>
      <c r="G50" s="41">
        <f>SUM(G34:G49)</f>
        <v>1231570.4300000002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1470150.0099999956</v>
      </c>
      <c r="D51" s="41">
        <f>D50+D31</f>
        <v>52802.179999999993</v>
      </c>
      <c r="E51" s="41">
        <f>E50+E31</f>
        <v>78659.759999999995</v>
      </c>
      <c r="F51" s="41">
        <f>F50+F31</f>
        <v>0</v>
      </c>
      <c r="G51" s="41">
        <f>G50+G31</f>
        <v>1231570.4300000002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18111815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1183996.7300000002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1748.32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17491.28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467502.52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760253.23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1945998.2800000003</v>
      </c>
      <c r="D62" s="130">
        <f>SUM(D57:D61)</f>
        <v>467502.52</v>
      </c>
      <c r="E62" s="130">
        <f>SUM(E57:E61)</f>
        <v>0</v>
      </c>
      <c r="F62" s="130">
        <f>SUM(F57:F61)</f>
        <v>0</v>
      </c>
      <c r="G62" s="130">
        <f>SUM(G57:G61)</f>
        <v>17491.28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20057813.280000001</v>
      </c>
      <c r="D63" s="22">
        <f>D56+D62</f>
        <v>467502.52</v>
      </c>
      <c r="E63" s="22">
        <f>E56+E62</f>
        <v>0</v>
      </c>
      <c r="F63" s="22">
        <f>F56+F62</f>
        <v>0</v>
      </c>
      <c r="G63" s="22">
        <f>G56+G62</f>
        <v>17491.28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3300611.27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2151913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1881.98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5454406.25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313323.82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111537.28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8734.7999999999993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28110.6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433595.89999999997</v>
      </c>
      <c r="D78" s="130">
        <f>SUM(D72:D77)</f>
        <v>28110.6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5888002.1500000004</v>
      </c>
      <c r="D81" s="130">
        <f>SUM(D79:D80)+D78+D70</f>
        <v>28110.6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233422.07999999999</v>
      </c>
      <c r="D88" s="95">
        <f>SUM('DOE25'!G153:G161)</f>
        <v>60060.5</v>
      </c>
      <c r="E88" s="95">
        <f>SUM('DOE25'!H153:H161)</f>
        <v>333144.71999999997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233422.07999999999</v>
      </c>
      <c r="D91" s="131">
        <f>SUM(D85:D90)</f>
        <v>60060.5</v>
      </c>
      <c r="E91" s="131">
        <f>SUM(E85:E90)</f>
        <v>333144.71999999997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26179237.509999998</v>
      </c>
      <c r="D104" s="86">
        <f>D63+D81+D91+D103</f>
        <v>555673.62</v>
      </c>
      <c r="E104" s="86">
        <f>E63+E81+E91+E103</f>
        <v>333144.71999999997</v>
      </c>
      <c r="F104" s="86">
        <f>F63+F81+F91+F103</f>
        <v>0</v>
      </c>
      <c r="G104" s="86">
        <f>G63+G81+G103</f>
        <v>17491.28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10469542.689999999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4771912.9499999993</v>
      </c>
      <c r="D110" s="24" t="s">
        <v>289</v>
      </c>
      <c r="E110" s="95">
        <f>('DOE25'!L277)+('DOE25'!L296)+('DOE25'!L315)</f>
        <v>323637.48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86112.98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565813.5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15893382.119999999</v>
      </c>
      <c r="D115" s="86">
        <f>SUM(D109:D114)</f>
        <v>0</v>
      </c>
      <c r="E115" s="86">
        <f>SUM(E109:E114)</f>
        <v>323637.48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2162924.54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1081497.3999999999</v>
      </c>
      <c r="D119" s="24" t="s">
        <v>289</v>
      </c>
      <c r="E119" s="95">
        <f>+('DOE25'!L282)+('DOE25'!L301)+('DOE25'!L320)</f>
        <v>9507.24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854218.48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1287562.2000000002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2086799.06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1127949.51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548783.73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8600951.1899999995</v>
      </c>
      <c r="D128" s="86">
        <f>SUM(D118:D127)</f>
        <v>548783.73</v>
      </c>
      <c r="E128" s="86">
        <f>SUM(E118:E127)</f>
        <v>9507.24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1005000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225818.75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12172.69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5318.59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-17491.28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1230818.75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25725152.059999999</v>
      </c>
      <c r="D145" s="86">
        <f>(D115+D128+D144)</f>
        <v>548783.73</v>
      </c>
      <c r="E145" s="86">
        <f>(E115+E128+E144)</f>
        <v>333144.71999999997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8/15/96</v>
      </c>
      <c r="C152" s="152" t="str">
        <f>'DOE25'!G491</f>
        <v>7/1/2006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8/20/16</v>
      </c>
      <c r="C153" s="152" t="str">
        <f>'DOE25'!G492</f>
        <v>7/1/2026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16157528</v>
      </c>
      <c r="C154" s="137">
        <f>'DOE25'!G493</f>
        <v>4027000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5.7</v>
      </c>
      <c r="C155" s="137">
        <f>'DOE25'!G494</f>
        <v>4.4000000000000004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2415000</v>
      </c>
      <c r="C156" s="137">
        <f>'DOE25'!G495</f>
        <v>2600000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5015000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805000</v>
      </c>
      <c r="C158" s="137">
        <f>'DOE25'!G497</f>
        <v>200000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1005000</v>
      </c>
    </row>
    <row r="159" spans="1:9" x14ac:dyDescent="0.2">
      <c r="A159" s="22" t="s">
        <v>35</v>
      </c>
      <c r="B159" s="137">
        <f>'DOE25'!F498</f>
        <v>1610000</v>
      </c>
      <c r="C159" s="137">
        <f>'DOE25'!G498</f>
        <v>2400000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4010000</v>
      </c>
    </row>
    <row r="160" spans="1:9" x14ac:dyDescent="0.2">
      <c r="A160" s="22" t="s">
        <v>36</v>
      </c>
      <c r="B160" s="137">
        <f>'DOE25'!F499</f>
        <v>92575</v>
      </c>
      <c r="C160" s="137">
        <f>'DOE25'!G499</f>
        <v>953161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1045736</v>
      </c>
    </row>
    <row r="161" spans="1:7" x14ac:dyDescent="0.2">
      <c r="A161" s="22" t="s">
        <v>37</v>
      </c>
      <c r="B161" s="137">
        <f>'DOE25'!F500</f>
        <v>1702575</v>
      </c>
      <c r="C161" s="137">
        <f>'DOE25'!G500</f>
        <v>3353161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5055736</v>
      </c>
    </row>
    <row r="162" spans="1:7" x14ac:dyDescent="0.2">
      <c r="A162" s="22" t="s">
        <v>38</v>
      </c>
      <c r="B162" s="137">
        <f>'DOE25'!F501</f>
        <v>805000</v>
      </c>
      <c r="C162" s="137">
        <f>'DOE25'!G501</f>
        <v>200000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1005000</v>
      </c>
    </row>
    <row r="163" spans="1:7" x14ac:dyDescent="0.2">
      <c r="A163" s="22" t="s">
        <v>39</v>
      </c>
      <c r="B163" s="137">
        <f>'DOE25'!F502</f>
        <v>69431.25</v>
      </c>
      <c r="C163" s="137">
        <f>'DOE25'!G502</f>
        <v>101500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170931.25</v>
      </c>
    </row>
    <row r="164" spans="1:7" x14ac:dyDescent="0.2">
      <c r="A164" s="22" t="s">
        <v>246</v>
      </c>
      <c r="B164" s="137">
        <f>'DOE25'!F503</f>
        <v>874431.25</v>
      </c>
      <c r="C164" s="137">
        <f>'DOE25'!G503</f>
        <v>301500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1175931.25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Bow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17230</v>
      </c>
    </row>
    <row r="5" spans="1:4" x14ac:dyDescent="0.2">
      <c r="B5" t="s">
        <v>704</v>
      </c>
      <c r="C5" s="179">
        <f>IF('DOE25'!G665+'DOE25'!G670=0,0,ROUND('DOE25'!G672,0))</f>
        <v>14289</v>
      </c>
    </row>
    <row r="6" spans="1:4" x14ac:dyDescent="0.2">
      <c r="B6" t="s">
        <v>62</v>
      </c>
      <c r="C6" s="179">
        <f>IF('DOE25'!H665+'DOE25'!H670=0,0,ROUND('DOE25'!H672,0))</f>
        <v>17571</v>
      </c>
    </row>
    <row r="7" spans="1:4" x14ac:dyDescent="0.2">
      <c r="B7" t="s">
        <v>705</v>
      </c>
      <c r="C7" s="179">
        <f>IF('DOE25'!I665+'DOE25'!I670=0,0,ROUND('DOE25'!I672,0))</f>
        <v>16266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10469543</v>
      </c>
      <c r="D10" s="182">
        <f>ROUND((C10/$C$28)*100,1)</f>
        <v>41.7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5095550</v>
      </c>
      <c r="D11" s="182">
        <f>ROUND((C11/$C$28)*100,1)</f>
        <v>20.3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86113</v>
      </c>
      <c r="D12" s="182">
        <f>ROUND((C12/$C$28)*100,1)</f>
        <v>0.3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565814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2162925</v>
      </c>
      <c r="D15" s="182">
        <f t="shared" ref="D15:D27" si="0">ROUND((C15/$C$28)*100,1)</f>
        <v>8.6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1091005</v>
      </c>
      <c r="D16" s="182">
        <f t="shared" si="0"/>
        <v>4.3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854218</v>
      </c>
      <c r="D17" s="182">
        <f t="shared" si="0"/>
        <v>3.4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1287562</v>
      </c>
      <c r="D18" s="182">
        <f t="shared" si="0"/>
        <v>5.0999999999999996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2086799</v>
      </c>
      <c r="D20" s="182">
        <f t="shared" si="0"/>
        <v>8.3000000000000007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1127950</v>
      </c>
      <c r="D21" s="182">
        <f t="shared" si="0"/>
        <v>4.5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225819</v>
      </c>
      <c r="D25" s="182">
        <f t="shared" si="0"/>
        <v>0.9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81281.479999999981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25134579.48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25134579.48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1005000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18111815</v>
      </c>
      <c r="D35" s="182">
        <f t="shared" ref="D35:D40" si="1">ROUND((C35/$C$41)*100,1)</f>
        <v>68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1963489.5600000024</v>
      </c>
      <c r="D36" s="182">
        <f t="shared" si="1"/>
        <v>7.4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5452524</v>
      </c>
      <c r="D37" s="182">
        <f t="shared" si="1"/>
        <v>20.5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463588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626627</v>
      </c>
      <c r="D39" s="182">
        <f t="shared" si="1"/>
        <v>2.4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26618043.560000002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Bow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2015-12-21T16:35:49Z</cp:lastPrinted>
  <dcterms:created xsi:type="dcterms:W3CDTF">1997-12-04T19:04:30Z</dcterms:created>
  <dcterms:modified xsi:type="dcterms:W3CDTF">2015-12-21T16:35:53Z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