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7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D14" i="13" s="1"/>
  <c r="C14" i="13" s="1"/>
  <c r="G14" i="13"/>
  <c r="L207" i="1"/>
  <c r="C20" i="10" s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C25" i="10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6" i="10"/>
  <c r="C17" i="10"/>
  <c r="C18" i="10"/>
  <c r="C19" i="10"/>
  <c r="L250" i="1"/>
  <c r="L332" i="1"/>
  <c r="L254" i="1"/>
  <c r="L268" i="1"/>
  <c r="L269" i="1"/>
  <c r="L349" i="1"/>
  <c r="L350" i="1"/>
  <c r="I665" i="1"/>
  <c r="I670" i="1"/>
  <c r="L229" i="1"/>
  <c r="L247" i="1"/>
  <c r="F661" i="1"/>
  <c r="G661" i="1"/>
  <c r="H661" i="1"/>
  <c r="F662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5" i="2" s="1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J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640" i="1" s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G545" i="1" s="1"/>
  <c r="H529" i="1"/>
  <c r="I529" i="1"/>
  <c r="J529" i="1"/>
  <c r="J545" i="1" s="1"/>
  <c r="K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J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H641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C18" i="2"/>
  <c r="C26" i="10"/>
  <c r="L328" i="1"/>
  <c r="H660" i="1" s="1"/>
  <c r="H664" i="1" s="1"/>
  <c r="L351" i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D50" i="2"/>
  <c r="G157" i="2"/>
  <c r="F18" i="2"/>
  <c r="G156" i="2"/>
  <c r="E103" i="2"/>
  <c r="D91" i="2"/>
  <c r="E62" i="2"/>
  <c r="E63" i="2" s="1"/>
  <c r="E31" i="2"/>
  <c r="G62" i="2"/>
  <c r="D29" i="13"/>
  <c r="C29" i="13" s="1"/>
  <c r="D19" i="13"/>
  <c r="C19" i="13" s="1"/>
  <c r="E13" i="13"/>
  <c r="C13" i="13" s="1"/>
  <c r="E78" i="2"/>
  <c r="E81" i="2" s="1"/>
  <c r="H112" i="1"/>
  <c r="F112" i="1"/>
  <c r="J641" i="1"/>
  <c r="J639" i="1"/>
  <c r="J571" i="1"/>
  <c r="K571" i="1"/>
  <c r="L433" i="1"/>
  <c r="L419" i="1"/>
  <c r="I169" i="1"/>
  <c r="H169" i="1"/>
  <c r="J643" i="1"/>
  <c r="H476" i="1"/>
  <c r="H624" i="1" s="1"/>
  <c r="I476" i="1"/>
  <c r="H625" i="1" s="1"/>
  <c r="J625" i="1" s="1"/>
  <c r="G338" i="1"/>
  <c r="G352" i="1" s="1"/>
  <c r="F169" i="1"/>
  <c r="J140" i="1"/>
  <c r="F571" i="1"/>
  <c r="K550" i="1"/>
  <c r="G22" i="2"/>
  <c r="J552" i="1"/>
  <c r="C29" i="10"/>
  <c r="I661" i="1"/>
  <c r="H140" i="1"/>
  <c r="L393" i="1"/>
  <c r="A13" i="12"/>
  <c r="F22" i="13"/>
  <c r="H25" i="13"/>
  <c r="C25" i="13" s="1"/>
  <c r="J651" i="1"/>
  <c r="H571" i="1"/>
  <c r="L560" i="1"/>
  <c r="F338" i="1"/>
  <c r="F352" i="1" s="1"/>
  <c r="G192" i="1"/>
  <c r="H192" i="1"/>
  <c r="E128" i="2"/>
  <c r="C35" i="10"/>
  <c r="L309" i="1"/>
  <c r="D5" i="13"/>
  <c r="C5" i="13" s="1"/>
  <c r="E16" i="13"/>
  <c r="J655" i="1"/>
  <c r="J645" i="1"/>
  <c r="L570" i="1"/>
  <c r="I571" i="1"/>
  <c r="J636" i="1"/>
  <c r="G36" i="2"/>
  <c r="L565" i="1"/>
  <c r="K551" i="1"/>
  <c r="C22" i="13"/>
  <c r="C138" i="2"/>
  <c r="C16" i="13"/>
  <c r="J617" i="1" l="1"/>
  <c r="L529" i="1"/>
  <c r="K549" i="1"/>
  <c r="K552" i="1" s="1"/>
  <c r="H545" i="1"/>
  <c r="H552" i="1"/>
  <c r="L534" i="1"/>
  <c r="I545" i="1"/>
  <c r="L524" i="1"/>
  <c r="L401" i="1"/>
  <c r="C139" i="2" s="1"/>
  <c r="J476" i="1"/>
  <c r="H626" i="1" s="1"/>
  <c r="G476" i="1"/>
  <c r="H623" i="1" s="1"/>
  <c r="J623" i="1" s="1"/>
  <c r="F476" i="1"/>
  <c r="H622" i="1" s="1"/>
  <c r="J649" i="1"/>
  <c r="K500" i="1"/>
  <c r="J634" i="1"/>
  <c r="J640" i="1"/>
  <c r="J624" i="1"/>
  <c r="J622" i="1"/>
  <c r="H52" i="1"/>
  <c r="H619" i="1" s="1"/>
  <c r="J619" i="1" s="1"/>
  <c r="C132" i="2"/>
  <c r="H33" i="13"/>
  <c r="C115" i="2"/>
  <c r="C62" i="2"/>
  <c r="C81" i="2"/>
  <c r="C104" i="2" s="1"/>
  <c r="C63" i="2"/>
  <c r="D145" i="2"/>
  <c r="L211" i="1"/>
  <c r="L257" i="1" s="1"/>
  <c r="L271" i="1" s="1"/>
  <c r="G632" i="1" s="1"/>
  <c r="J632" i="1" s="1"/>
  <c r="E33" i="13"/>
  <c r="D35" i="13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L545" i="1" l="1"/>
  <c r="L408" i="1"/>
  <c r="G637" i="1" s="1"/>
  <c r="J637" i="1" s="1"/>
  <c r="C141" i="2"/>
  <c r="C144" i="2" s="1"/>
  <c r="C145" i="2" s="1"/>
  <c r="H646" i="1"/>
  <c r="J646" i="1" s="1"/>
  <c r="F660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64" i="1" l="1"/>
  <c r="I660" i="1"/>
  <c r="I664" i="1" s="1"/>
  <c r="I672" i="1" s="1"/>
  <c r="C7" i="10" s="1"/>
  <c r="H656" i="1"/>
  <c r="D28" i="10"/>
  <c r="C41" i="10"/>
  <c r="D38" i="10" s="1"/>
  <c r="I667" i="1" l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<sst xmlns="http://schemas.openxmlformats.org/spreadsheetml/2006/main" count="3958" uniqueCount="915">
  <si>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</si>
  <si>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</si>
  <si>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</si>
  <si>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</si>
  <si>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</si>
  <si>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</si>
  <si>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</si>
  <si>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</si>
  <si>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</si>
  <si>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</si>
  <si>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</si>
  <si>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</si>
  <si>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</si>
  <si>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</si>
  <si>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</si>
  <si>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</si>
  <si>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</si>
  <si>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</si>
  <si>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</si>
  <si>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</si>
  <si>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</si>
  <si>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</si>
  <si>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</si>
  <si>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</si>
  <si>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</si>
  <si>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</si>
  <si>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</si>
  <si>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</si>
  <si>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</si>
  <si>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</si>
  <si>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</si>
  <si>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</si>
  <si>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</si>
  <si>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</si>
  <si>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</si>
  <si>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</si>
  <si>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</si>
  <si>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</si>
  <si>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</si>
  <si>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</si>
  <si>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</si>
  <si>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</si>
  <si>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</si>
  <si>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</si>
  <si>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</si>
  <si>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</si>
  <si>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</si>
  <si>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</si>
  <si>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</si>
  <si>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</si>
  <si>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</si>
  <si>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</si>
  <si>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</si>
  <si>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</si>
  <si>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</si>
  <si>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</si>
  <si>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</si>
  <si>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</si>
  <si>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</si>
  <si>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</si>
  <si>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</si>
  <si>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</si>
  <si>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</si>
  <si>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</si>
  <si>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</si>
  <si>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</si>
  <si>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</si>
  <si>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</si>
  <si>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</si>
  <si>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</si>
  <si>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</si>
  <si>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</si>
  <si>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</si>
  <si>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</si>
  <si>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</si>
  <si>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</si>
  <si>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</si>
  <si>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</si>
  <si>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</si>
  <si>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</si>
  <si>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</si>
  <si>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</si>
  <si>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</si>
  <si>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</si>
  <si>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</si>
  <si>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</si>
  <si>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</si>
  <si>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</si>
  <si>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</si>
  <si>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</si>
  <si>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</si>
  <si>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</si>
  <si>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</si>
  <si>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</si>
  <si>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</si>
  <si>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</si>
  <si>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</si>
  <si>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</si>
  <si>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</si>
  <si>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</si>
  <si>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</si>
  <si>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</si>
  <si>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</si>
  <si>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</si>
  <si>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</si>
  <si>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</si>
  <si>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</si>
  <si>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</si>
  <si>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</si>
  <si>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</si>
  <si>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</si>
  <si>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</si>
  <si>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</si>
  <si>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</si>
  <si>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</si>
  <si>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</si>
  <si>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</si>
  <si>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</si>
  <si>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</si>
  <si>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</si>
  <si>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</si>
  <si>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</si>
  <si>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</si>
  <si>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</si>
  <si>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</si>
  <si>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</si>
  <si>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</si>
  <si>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</si>
  <si>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</si>
  <si>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</si>
  <si>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</si>
  <si>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</si>
  <si>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</si>
  <si>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</si>
  <si>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</si>
  <si>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</si>
  <si>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</si>
  <si>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</si>
  <si>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</si>
  <si>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</si>
  <si>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</si>
  <si>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</si>
  <si>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</si>
  <si>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</si>
  <si>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</si>
  <si>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</si>
  <si>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</si>
  <si>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</si>
  <si>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</si>
  <si>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</si>
  <si>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</si>
  <si>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</si>
  <si>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</si>
  <si>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</si>
  <si>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</si>
  <si>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</si>
  <si>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</si>
  <si>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</si>
  <si>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</si>
  <si>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</si>
  <si>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</si>
  <si>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</si>
  <si>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</si>
  <si>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</si>
  <si>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</si>
  <si>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</si>
  <si>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</si>
  <si>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</si>
  <si>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</si>
  <si>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</si>
  <si>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</si>
  <si>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</si>
  <si>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</si>
  <si>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</si>
  <si>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</si>
  <si>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</si>
  <si>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</si>
  <si>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</si>
  <si>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</si>
  <si>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</si>
  <si>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</si>
  <si>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</si>
  <si>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</si>
  <si>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</si>
  <si>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</si>
  <si>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</si>
  <si>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</si>
  <si>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</si>
  <si>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</si>
  <si>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</si>
  <si>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</si>
  <si>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</si>
  <si>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</si>
  <si>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</si>
  <si>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</si>
  <si>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</si>
  <si>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</si>
  <si>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</si>
  <si>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</si>
  <si>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</si>
  <si>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</si>
  <si>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</si>
  <si>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</si>
  <si>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</si>
  <si>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</si>
  <si>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</si>
  <si>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</si>
  <si>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</si>
  <si>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</si>
  <si>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</si>
  <si>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</si>
  <si>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</si>
  <si>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</si>
  <si>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</si>
  <si>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</si>
  <si>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</si>
  <si>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</si>
  <si>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</si>
  <si>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</si>
  <si>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</si>
  <si>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</si>
  <si>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</si>
  <si>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</si>
  <si>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</si>
  <si>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</si>
  <si>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</si>
  <si>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</si>
  <si>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</si>
  <si>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</si>
  <si>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</si>
  <si>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</si>
  <si>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</si>
  <si>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</si>
  <si>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</si>
  <si>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</si>
  <si>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</si>
  <si>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</si>
  <si>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</si>
  <si>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</si>
  <si>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</si>
  <si>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</si>
  <si>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</si>
  <si>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</si>
  <si>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</si>
  <si>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</si>
  <si>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</si>
  <si>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</si>
  <si>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</si>
  <si>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</si>
  <si>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</si>
  <si>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</si>
  <si>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</si>
  <si>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</si>
  <si>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</si>
  <si>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</si>
  <si>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</si>
  <si>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</si>
  <si>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</si>
  <si>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</si>
  <si>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</si>
  <si>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</si>
  <si>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</si>
  <si>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</si>
  <si>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</si>
  <si>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</si>
  <si>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</si>
  <si>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</si>
  <si>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</si>
  <si>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</si>
  <si>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</si>
  <si>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</si>
  <si>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</si>
  <si>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</si>
  <si>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</si>
  <si>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</si>
  <si>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</si>
  <si>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</si>
  <si>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</si>
  <si>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</si>
  <si>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</si>
  <si>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</si>
  <si>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</si>
  <si>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</si>
  <si>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</si>
  <si>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</si>
  <si>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</si>
  <si>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</si>
  <si>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</si>
  <si>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</si>
  <si>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</si>
  <si>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</si>
  <si>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</si>
  <si>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</si>
  <si>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</si>
  <si>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</si>
  <si>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</si>
  <si>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</si>
  <si>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</si>
  <si>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</si>
  <si>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</si>
  <si>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</si>
  <si>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</si>
  <si>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</si>
  <si>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</si>
  <si>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</si>
  <si>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</si>
  <si>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</si>
  <si>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</si>
  <si>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</si>
  <si>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</si>
  <si>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</si>
  <si>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</si>
  <si>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</si>
  <si>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</si>
  <si>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</si>
  <si>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</si>
  <si>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</si>
  <si>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</si>
  <si>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</si>
  <si>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</si>
  <si>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</si>
  <si>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</si>
  <si>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</si>
  <si>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</si>
  <si>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</si>
  <si>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</si>
  <si>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</si>
  <si>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</si>
  <si>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</si>
  <si>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</si>
  <si>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</si>
  <si>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</si>
  <si>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</si>
  <si>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</si>
  <si>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</si>
  <si>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</si>
  <si>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</si>
  <si>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</si>
  <si>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</si>
  <si>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</si>
  <si>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</si>
  <si>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</si>
  <si>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</si>
  <si>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</si>
  <si>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</si>
  <si>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</si>
  <si>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</si>
  <si>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</si>
  <si>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</si>
  <si>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</si>
  <si>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</si>
  <si>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</si>
  <si>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</si>
  <si>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</si>
  <si>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</si>
  <si>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</si>
  <si>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</si>
  <si>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</si>
  <si>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</si>
  <si>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</si>
  <si>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</si>
  <si>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</si>
  <si>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</si>
  <si>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</si>
  <si>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</si>
  <si>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</si>
  <si>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</si>
  <si>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</si>
  <si>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</si>
  <si>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</si>
  <si>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</si>
  <si>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</si>
  <si>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</si>
  <si>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</si>
  <si>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</si>
  <si>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</si>
  <si>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</si>
  <si>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</si>
  <si>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</si>
  <si>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</si>
  <si>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</si>
  <si>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</si>
  <si>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</si>
  <si>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</si>
  <si>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</si>
  <si>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</si>
  <si>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</si>
  <si>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</si>
  <si>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</si>
  <si>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</si>
  <si>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</si>
  <si>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</si>
  <si>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</si>
  <si>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</si>
  <si>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</si>
  <si>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</si>
  <si>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</si>
  <si>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</si>
  <si>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</si>
  <si>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</si>
  <si>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</si>
  <si>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</si>
  <si>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</si>
  <si>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</si>
  <si>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</si>
  <si>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</si>
  <si>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</si>
  <si>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</si>
  <si>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</si>
  <si>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</si>
  <si>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</si>
  <si>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</si>
  <si>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</si>
  <si>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</si>
  <si>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</si>
  <si>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</si>
  <si>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</si>
  <si>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</si>
  <si>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</si>
  <si>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</si>
  <si>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</si>
  <si>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</si>
  <si>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</si>
  <si>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</si>
  <si>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</si>
  <si>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</si>
  <si>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</si>
  <si>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</si>
  <si>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</si>
  <si>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</si>
  <si>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</si>
  <si>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</si>
  <si>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</si>
  <si>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</si>
  <si>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</si>
  <si>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</si>
  <si>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</si>
  <si>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</si>
  <si>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</si>
  <si>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</si>
  <si>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</si>
  <si>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</si>
  <si>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</si>
  <si>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</si>
  <si>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</si>
  <si>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</si>
  <si>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</si>
  <si>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</si>
  <si>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</si>
  <si>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</si>
  <si>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</si>
  <si>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</si>
  <si>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</si>
  <si>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</si>
  <si>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</si>
  <si>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</si>
  <si>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</si>
  <si>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</si>
  <si>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</si>
  <si>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</si>
  <si>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</si>
  <si>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</si>
  <si>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</si>
  <si>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</si>
  <si>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</si>
  <si>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</si>
  <si>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</si>
  <si>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</si>
  <si>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</si>
  <si>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</si>
  <si>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</si>
  <si>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</si>
  <si>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</si>
  <si>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</si>
  <si>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</si>
  <si>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</si>
  <si>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</si>
  <si>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</si>
  <si>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</si>
  <si>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</si>
  <si>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</si>
  <si>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</si>
  <si>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</si>
  <si>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</si>
  <si>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</si>
  <si>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</si>
  <si>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</si>
  <si>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</si>
  <si>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</si>
  <si>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</si>
  <si>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</si>
  <si>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</si>
  <si>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</si>
  <si>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</si>
  <si>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</si>
  <si>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</si>
  <si>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</si>
  <si>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</si>
  <si>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</si>
  <si>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</si>
  <si>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</si>
  <si>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</si>
  <si>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</si>
  <si>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</si>
  <si>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</si>
  <si>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</si>
  <si>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</si>
  <si>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</si>
  <si>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</si>
  <si>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</si>
  <si>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</si>
  <si>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</si>
  <si>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</si>
  <si>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</si>
  <si>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</si>
  <si>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</si>
  <si>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</si>
  <si>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</si>
  <si>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</si>
  <si>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</si>
  <si>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</si>
  <si>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</si>
  <si>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</si>
  <si>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</si>
  <si>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</si>
  <si>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</si>
  <si>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</si>
  <si>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</si>
  <si>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</si>
  <si>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</si>
  <si>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</si>
  <si>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</si>
  <si>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</si>
  <si>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</si>
  <si>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</si>
  <si>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</si>
  <si>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</si>
  <si>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</si>
  <si>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</si>
  <si>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</si>
  <si>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</si>
  <si>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</si>
  <si>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</si>
  <si>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</si>
  <si>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</si>
  <si>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</si>
  <si>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</si>
  <si>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</si>
  <si>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</si>
  <si>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</si>
  <si>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</si>
  <si>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</si>
  <si>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</si>
  <si>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</si>
  <si>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</si>
  <si>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</si>
  <si>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</si>
  <si>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</si>
  <si>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</si>
  <si>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</si>
  <si>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</si>
  <si>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</si>
  <si>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</si>
  <si>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</si>
  <si>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</si>
  <si>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</si>
  <si>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</si>
  <si>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</si>
  <si>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</si>
  <si>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</si>
  <si>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</si>
  <si>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</si>
  <si>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</si>
  <si>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</si>
  <si>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</si>
  <si>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</si>
  <si>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</si>
  <si>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</si>
  <si>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</si>
  <si>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</si>
  <si>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</si>
  <si>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</si>
  <si>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</si>
  <si>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</si>
  <si>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</si>
  <si>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</si>
  <si>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</si>
  <si>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</si>
  <si>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</si>
  <si>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</si>
  <si>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</si>
  <si>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</si>
  <si>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</si>
  <si>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</si>
  <si>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</si>
  <si>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</si>
  <si>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</si>
  <si>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</si>
  <si>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</si>
  <si>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</si>
  <si>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</si>
  <si>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</si>
  <si>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</si>
  <si>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</si>
  <si>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</si>
  <si>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</si>
  <si>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</si>
  <si>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</si>
  <si>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</si>
  <si>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</si>
  <si>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</si>
  <si>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</si>
  <si>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</si>
  <si>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</si>
  <si>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</si>
  <si>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</si>
  <si>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</si>
  <si>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</si>
  <si>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</si>
  <si>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</si>
  <si>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</si>
  <si>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</si>
  <si>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</si>
  <si>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</si>
  <si>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</si>
  <si>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</si>
  <si>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</si>
  <si>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</si>
  <si>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</si>
  <si>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</si>
  <si>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</si>
  <si>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</si>
  <si>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</si>
  <si>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</si>
  <si>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</si>
  <si>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</si>
  <si>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</si>
  <si>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</si>
  <si>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</si>
  <si>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</si>
  <si>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</si>
  <si>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</si>
  <si>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</si>
  <si>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</si>
  <si>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</si>
  <si>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</si>
  <si>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</si>
  <si>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</si>
  <si>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</si>
  <si>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</si>
  <si>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</si>
  <si>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</si>
  <si>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</si>
  <si>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</si>
  <si>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</si>
  <si>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</si>
  <si>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</si>
  <si>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</si>
  <si>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</si>
  <si>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</si>
  <si>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</si>
  <si>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</si>
  <si>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</si>
  <si>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</si>
  <si>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</si>
  <si>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</si>
  <si>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</si>
  <si>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</si>
  <si>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</si>
  <si>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</si>
  <si>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</si>
  <si>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</si>
  <si>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</si>
  <si>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</si>
  <si>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</si>
  <si>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</si>
  <si>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</si>
  <si>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</si>
  <si>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</si>
  <si>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</si>
  <si>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</si>
  <si>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</si>
  <si>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</si>
  <si>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</si>
  <si>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</si>
  <si>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</si>
  <si>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</si>
  <si>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</si>
  <si>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</si>
  <si>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</si>
  <si>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</si>
  <si>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</si>
  <si>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</si>
  <si>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</si>
  <si>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</si>
  <si>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</si>
  <si>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</si>
  <si>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</si>
  <si>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</si>
  <si>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</si>
  <si>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</si>
  <si>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</si>
  <si>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</si>
  <si>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</si>
  <si>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</si>
  <si>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</si>
  <si>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</si>
  <si>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</si>
  <si>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</si>
  <si>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</si>
  <si>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</si>
  <si>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</si>
  <si>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</si>
  <si>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</si>
  <si>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</si>
  <si>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</si>
  <si>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</si>
  <si>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</si>
  <si>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</si>
  <si>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</si>
  <si>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</si>
  <si>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</si>
  <si>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</si>
  <si>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</si>
  <si>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</si>
  <si>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</si>
  <si>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</si>
  <si>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</si>
  <si>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</si>
  <si>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</si>
  <si>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</si>
  <si>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</si>
  <si>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</si>
  <si>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</si>
  <si>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</si>
  <si>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</si>
  <si>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</si>
  <si>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</si>
  <si>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</si>
  <si>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</si>
  <si>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</si>
  <si>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</si>
  <si>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</si>
  <si>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</si>
  <si>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</si>
  <si>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</si>
  <si>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</si>
  <si>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</si>
  <si>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</si>
  <si>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</si>
  <si>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</si>
  <si>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</si>
  <si>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</si>
  <si>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</si>
  <si>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</si>
  <si>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</si>
  <si>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</si>
  <si>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</si>
  <si>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</si>
  <si>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</si>
  <si>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</si>
  <si>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</si>
  <si>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</si>
  <si>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</si>
  <si>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</si>
  <si>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</si>
  <si>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</si>
  <si>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</si>
  <si>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</si>
  <si>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</si>
  <si>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</si>
  <si>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</si>
  <si>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</si>
  <si>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</si>
  <si>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</si>
  <si>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</si>
  <si>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</si>
  <si>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</si>
  <si>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</si>
  <si>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</si>
  <si>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</si>
  <si>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</si>
  <si>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</si>
  <si>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</si>
  <si>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</si>
  <si>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</si>
  <si>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</si>
  <si>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</si>
  <si>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</si>
  <si>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</si>
  <si>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</si>
  <si>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</si>
  <si>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</si>
  <si>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</si>
  <si>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</si>
  <si>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</si>
  <si>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</si>
  <si>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</si>
  <si>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</si>
  <si>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</si>
  <si>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</si>
  <si>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</si>
  <si>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</si>
  <si>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</si>
  <si>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</si>
  <si>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</si>
  <si>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</si>
  <si>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</si>
  <si>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</si>
  <si>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</si>
  <si>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</si>
  <si>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</si>
  <si>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</si>
  <si>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</si>
  <si>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</si>
  <si>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</si>
  <si>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</si>
  <si>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</si>
  <si>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</si>
  <si>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</si>
  <si>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</si>
  <si>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</si>
  <si>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</si>
  <si>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</si>
  <si>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</si>
  <si>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</si>
  <si>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</si>
  <si>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</si>
  <si>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</si>
  <si>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</si>
  <si>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</si>
  <si>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</si>
  <si>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</si>
  <si>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</si>
  <si>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</si>
  <si>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</si>
  <si>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</si>
  <si>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</si>
  <si>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</si>
  <si>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</si>
  <si>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</si>
  <si>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</si>
  <si>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</si>
  <si>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</si>
  <si>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</si>
  <si>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</si>
  <si>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</si>
  <si>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</si>
  <si>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</si>
  <si>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</si>
  <si>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</si>
  <si>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</si>
  <si>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</si>
  <si>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</si>
  <si>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</si>
  <si>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</si>
  <si>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</si>
  <si>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</si>
  <si>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</si>
  <si>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</si>
  <si>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</si>
  <si>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</si>
  <si>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</si>
  <si>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</si>
  <si>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</si>
  <si>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</si>
  <si>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</si>
  <si>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</si>
  <si>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</si>
  <si>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</si>
  <si>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</si>
  <si>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</si>
  <si>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</si>
  <si>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</si>
  <si>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</si>
  <si>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</si>
  <si>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</si>
  <si>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</si>
  <si>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</si>
  <si>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</si>
  <si>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</si>
  <si>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</si>
  <si>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</si>
  <si>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</si>
  <si>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</si>
  <si>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</si>
  <si>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</si>
  <si>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</si>
  <si>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</si>
  <si>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</si>
  <si>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</si>
  <si>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</si>
  <si>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</si>
  <si>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</si>
  <si>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</si>
  <si>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</si>
  <si>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</si>
  <si>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</si>
  <si>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</si>
  <si>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</si>
  <si>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</si>
  <si>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</si>
  <si>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</si>
  <si>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</si>
  <si>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</si>
  <si>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</si>
  <si>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</si>
  <si>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</si>
  <si>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</si>
  <si>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</si>
  <si>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</si>
  <si>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Brentwood School District</t>
  </si>
  <si>
    <t>08/01</t>
  </si>
  <si>
    <t>08/21</t>
  </si>
  <si>
    <t>Settlement from Local Gov't Center's Trust Fund for Health &amp; Dental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</si>
</sst>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0" zoomScaleNormal="120" workbookViewId="0">
      <pane xSplit="5" ySplit="3" topLeftCell="F31" activePane="bottomRight" state="frozen"/>
      <selection pane="topRight" activeCell="F1" sqref="F1"/>
      <selection pane="bottomLeft" activeCell="A4" sqref="A4"/>
      <selection pane="bottomRight" activeCell="F46" sqref="F4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63</v>
      </c>
      <c r="C2" s="21">
        <v>63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-143.43</v>
      </c>
      <c r="G9" s="18"/>
      <c r="H9" s="18"/>
      <c r="I9" s="18"/>
      <c r="J9" s="67">
        <f>SUM(I439)</f>
        <v>146997.23000000001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459152.19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9198.94</v>
      </c>
      <c r="G14" s="18">
        <v>1824.59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3801.61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468207.7</v>
      </c>
      <c r="G19" s="41">
        <f>SUM(G9:G18)</f>
        <v>5626.2</v>
      </c>
      <c r="H19" s="41">
        <f>SUM(H9:H18)</f>
        <v>0</v>
      </c>
      <c r="I19" s="41">
        <f>SUM(I9:I18)</f>
        <v>0</v>
      </c>
      <c r="J19" s="41">
        <f>SUM(J9:J18)</f>
        <v>146997.23000000001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16134</v>
      </c>
      <c r="G22" s="18">
        <v>5626.2</v>
      </c>
      <c r="H22" s="18">
        <v>-21760.2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154111.91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170245.91</v>
      </c>
      <c r="G32" s="41">
        <f>SUM(G22:G31)</f>
        <v>5626.2</v>
      </c>
      <c r="H32" s="41">
        <f>SUM(H22:H31)</f>
        <v>-21760.2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21760.2</v>
      </c>
      <c r="I48" s="18"/>
      <c r="J48" s="13">
        <f>SUM(I459)</f>
        <v>146997.23000000001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297961.78999999998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297961.78999999998</v>
      </c>
      <c r="G51" s="41">
        <f>SUM(G35:G50)</f>
        <v>0</v>
      </c>
      <c r="H51" s="41">
        <f>SUM(H35:H50)</f>
        <v>21760.2</v>
      </c>
      <c r="I51" s="41">
        <f>SUM(I35:I50)</f>
        <v>0</v>
      </c>
      <c r="J51" s="41">
        <f>SUM(J35:J50)</f>
        <v>146997.23000000001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468207.69999999995</v>
      </c>
      <c r="G52" s="41">
        <f>G51+G32</f>
        <v>5626.2</v>
      </c>
      <c r="H52" s="41">
        <f>H51+H32</f>
        <v>0</v>
      </c>
      <c r="I52" s="41">
        <f>I51+I32</f>
        <v>0</v>
      </c>
      <c r="J52" s="41">
        <f>J51+J32</f>
        <v>146997.23000000001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3726115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3726115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3770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3770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690.63</v>
      </c>
      <c r="G96" s="18"/>
      <c r="H96" s="18"/>
      <c r="I96" s="18"/>
      <c r="J96" s="18">
        <v>2561.59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88398.67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>
        <v>17247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4822.5200000000004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59986.09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65499.24</v>
      </c>
      <c r="G111" s="41">
        <f>SUM(G96:G110)</f>
        <v>88398.67</v>
      </c>
      <c r="H111" s="41">
        <f>SUM(H96:H110)</f>
        <v>17247</v>
      </c>
      <c r="I111" s="41">
        <f>SUM(I96:I110)</f>
        <v>0</v>
      </c>
      <c r="J111" s="41">
        <f>SUM(J96:J110)</f>
        <v>2561.59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3795384.24</v>
      </c>
      <c r="G112" s="41">
        <f>G60+G111</f>
        <v>88398.67</v>
      </c>
      <c r="H112" s="41">
        <f>H60+H79+H94+H111</f>
        <v>17247</v>
      </c>
      <c r="I112" s="41">
        <f>I60+I111</f>
        <v>0</v>
      </c>
      <c r="J112" s="41">
        <f>J60+J111</f>
        <v>2561.59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807294.94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469923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1277217.94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78671.66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47204.12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1481.69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125875.78</v>
      </c>
      <c r="G136" s="41">
        <f>SUM(G123:G135)</f>
        <v>1481.69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1403093.72</v>
      </c>
      <c r="G140" s="41">
        <f>G121+SUM(G136:G137)</f>
        <v>1481.69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23995.27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53065.48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53065.48</v>
      </c>
      <c r="G162" s="41">
        <f>SUM(G150:G161)</f>
        <v>23995.27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53065.48</v>
      </c>
      <c r="G169" s="41">
        <f>G147+G162+SUM(G163:G168)</f>
        <v>23995.27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5251543.4400000004</v>
      </c>
      <c r="G193" s="47">
        <f>G112+G140+G169+G192</f>
        <v>113875.63</v>
      </c>
      <c r="H193" s="47">
        <f>H112+H140+H169+H192</f>
        <v>17247</v>
      </c>
      <c r="I193" s="47">
        <f>I112+I140+I169+I192</f>
        <v>0</v>
      </c>
      <c r="J193" s="47">
        <f>J112+J140+J192</f>
        <v>2561.59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1657687.01</v>
      </c>
      <c r="G197" s="18">
        <v>623926.99</v>
      </c>
      <c r="H197" s="18"/>
      <c r="I197" s="18">
        <v>66096.160000000003</v>
      </c>
      <c r="J197" s="18"/>
      <c r="K197" s="18"/>
      <c r="L197" s="19">
        <f>SUM(F197:K197)</f>
        <v>2347710.16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490582.07</v>
      </c>
      <c r="G198" s="18">
        <v>143927.67000000001</v>
      </c>
      <c r="H198" s="18">
        <v>192923.56</v>
      </c>
      <c r="I198" s="18">
        <v>6752.02</v>
      </c>
      <c r="J198" s="18">
        <v>750</v>
      </c>
      <c r="K198" s="18"/>
      <c r="L198" s="19">
        <f>SUM(F198:K198)</f>
        <v>834935.32000000007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6370.2</v>
      </c>
      <c r="G200" s="18"/>
      <c r="H200" s="18"/>
      <c r="I200" s="18"/>
      <c r="J200" s="18"/>
      <c r="K200" s="18"/>
      <c r="L200" s="19">
        <f>SUM(F200:K200)</f>
        <v>6370.2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318565.36</v>
      </c>
      <c r="G202" s="18">
        <v>79213.39</v>
      </c>
      <c r="H202" s="18">
        <v>546</v>
      </c>
      <c r="I202" s="18">
        <v>4682.6499999999996</v>
      </c>
      <c r="J202" s="18"/>
      <c r="K202" s="18"/>
      <c r="L202" s="19">
        <f t="shared" ref="L202:L208" si="0">SUM(F202:K202)</f>
        <v>403007.4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74837.77</v>
      </c>
      <c r="G203" s="18">
        <v>28428.16</v>
      </c>
      <c r="H203" s="18">
        <v>19207.57</v>
      </c>
      <c r="I203" s="18">
        <v>28055.759999999998</v>
      </c>
      <c r="J203" s="18">
        <v>42404.93</v>
      </c>
      <c r="K203" s="18"/>
      <c r="L203" s="19">
        <f t="shared" si="0"/>
        <v>192934.19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1525</v>
      </c>
      <c r="G204" s="18">
        <v>3227.5</v>
      </c>
      <c r="H204" s="18">
        <v>132059.49</v>
      </c>
      <c r="I204" s="18"/>
      <c r="J204" s="18"/>
      <c r="K204" s="18"/>
      <c r="L204" s="19">
        <f t="shared" si="0"/>
        <v>136811.99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186036</v>
      </c>
      <c r="G205" s="18">
        <v>29419.49</v>
      </c>
      <c r="H205" s="18">
        <v>22539.59</v>
      </c>
      <c r="I205" s="18">
        <v>2730.54</v>
      </c>
      <c r="J205" s="18">
        <v>420.78</v>
      </c>
      <c r="K205" s="18">
        <v>40.32</v>
      </c>
      <c r="L205" s="19">
        <f t="shared" si="0"/>
        <v>241186.72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155685.67000000001</v>
      </c>
      <c r="G207" s="18">
        <v>20525.48</v>
      </c>
      <c r="H207" s="18">
        <v>102062.38</v>
      </c>
      <c r="I207" s="18">
        <v>124432.48</v>
      </c>
      <c r="J207" s="18">
        <v>5643.74</v>
      </c>
      <c r="K207" s="18"/>
      <c r="L207" s="19">
        <f t="shared" si="0"/>
        <v>408349.75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193093.84</v>
      </c>
      <c r="I208" s="18"/>
      <c r="J208" s="18"/>
      <c r="K208" s="18"/>
      <c r="L208" s="19">
        <f t="shared" si="0"/>
        <v>193093.84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2537.34</v>
      </c>
      <c r="I209" s="18"/>
      <c r="J209" s="18"/>
      <c r="K209" s="18"/>
      <c r="L209" s="19">
        <f>SUM(F209:K209)</f>
        <v>2537.34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2891289.08</v>
      </c>
      <c r="G211" s="41">
        <f t="shared" si="1"/>
        <v>928668.68</v>
      </c>
      <c r="H211" s="41">
        <f t="shared" si="1"/>
        <v>664969.77</v>
      </c>
      <c r="I211" s="41">
        <f t="shared" si="1"/>
        <v>232749.61</v>
      </c>
      <c r="J211" s="41">
        <f t="shared" si="1"/>
        <v>49219.45</v>
      </c>
      <c r="K211" s="41">
        <f t="shared" si="1"/>
        <v>40.32</v>
      </c>
      <c r="L211" s="41">
        <f t="shared" si="1"/>
        <v>4766936.91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2891289.08</v>
      </c>
      <c r="G257" s="41">
        <f t="shared" si="8"/>
        <v>928668.68</v>
      </c>
      <c r="H257" s="41">
        <f t="shared" si="8"/>
        <v>664969.77</v>
      </c>
      <c r="I257" s="41">
        <f t="shared" si="8"/>
        <v>232749.61</v>
      </c>
      <c r="J257" s="41">
        <f t="shared" si="8"/>
        <v>49219.45</v>
      </c>
      <c r="K257" s="41">
        <f t="shared" si="8"/>
        <v>40.32</v>
      </c>
      <c r="L257" s="41">
        <f t="shared" si="8"/>
        <v>4766936.91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183441.92000000001</v>
      </c>
      <c r="L260" s="19">
        <f>SUM(F260:K260)</f>
        <v>183441.92000000001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146480.46</v>
      </c>
      <c r="L261" s="19">
        <f>SUM(F261:K261)</f>
        <v>146480.46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329922.38</v>
      </c>
      <c r="L270" s="41">
        <f t="shared" si="9"/>
        <v>329922.38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2891289.08</v>
      </c>
      <c r="G271" s="42">
        <f t="shared" si="11"/>
        <v>928668.68</v>
      </c>
      <c r="H271" s="42">
        <f t="shared" si="11"/>
        <v>664969.77</v>
      </c>
      <c r="I271" s="42">
        <f t="shared" si="11"/>
        <v>232749.61</v>
      </c>
      <c r="J271" s="42">
        <f t="shared" si="11"/>
        <v>49219.45</v>
      </c>
      <c r="K271" s="42">
        <f t="shared" si="11"/>
        <v>329962.7</v>
      </c>
      <c r="L271" s="42">
        <f t="shared" si="11"/>
        <v>5096859.29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0</v>
      </c>
      <c r="G276" s="18"/>
      <c r="H276" s="18" t="s">
        <v>287</v>
      </c>
      <c r="I276" s="18">
        <v>14079.28</v>
      </c>
      <c r="J276" s="18"/>
      <c r="K276" s="18"/>
      <c r="L276" s="19">
        <f>SUM(F276:K276)</f>
        <v>14079.28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14079.28</v>
      </c>
      <c r="J290" s="42">
        <f t="shared" si="13"/>
        <v>0</v>
      </c>
      <c r="K290" s="42">
        <f t="shared" si="13"/>
        <v>0</v>
      </c>
      <c r="L290" s="41">
        <f t="shared" si="13"/>
        <v>14079.28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14079.28</v>
      </c>
      <c r="J338" s="41">
        <f t="shared" si="20"/>
        <v>0</v>
      </c>
      <c r="K338" s="41">
        <f t="shared" si="20"/>
        <v>0</v>
      </c>
      <c r="L338" s="41">
        <f t="shared" si="20"/>
        <v>14079.28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14079.28</v>
      </c>
      <c r="J352" s="41">
        <f>J338</f>
        <v>0</v>
      </c>
      <c r="K352" s="47">
        <f>K338+K351</f>
        <v>0</v>
      </c>
      <c r="L352" s="41">
        <f>L338+L351</f>
        <v>14079.28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58451.28</v>
      </c>
      <c r="G358" s="18">
        <v>5756.5</v>
      </c>
      <c r="H358" s="18">
        <v>1085.17</v>
      </c>
      <c r="I358" s="18">
        <v>47744.43</v>
      </c>
      <c r="J358" s="18"/>
      <c r="K358" s="18">
        <v>0</v>
      </c>
      <c r="L358" s="13">
        <f>SUM(F358:K358)</f>
        <v>113037.38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58451.28</v>
      </c>
      <c r="G362" s="47">
        <f t="shared" si="22"/>
        <v>5756.5</v>
      </c>
      <c r="H362" s="47">
        <f t="shared" si="22"/>
        <v>1085.17</v>
      </c>
      <c r="I362" s="47">
        <f t="shared" si="22"/>
        <v>47744.43</v>
      </c>
      <c r="J362" s="47">
        <f t="shared" si="22"/>
        <v>0</v>
      </c>
      <c r="K362" s="47">
        <f t="shared" si="22"/>
        <v>0</v>
      </c>
      <c r="L362" s="47">
        <f t="shared" si="22"/>
        <v>113037.38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47744.43</v>
      </c>
      <c r="G367" s="18"/>
      <c r="H367" s="18"/>
      <c r="I367" s="56">
        <f>SUM(F367:H367)</f>
        <v>47744.43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0</v>
      </c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47744.43</v>
      </c>
      <c r="G369" s="47">
        <f>SUM(G367:G368)</f>
        <v>0</v>
      </c>
      <c r="H369" s="47">
        <f>SUM(H367:H368)</f>
        <v>0</v>
      </c>
      <c r="I369" s="47">
        <f>SUM(I367:I368)</f>
        <v>47744.43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1587.57</v>
      </c>
      <c r="I396" s="18"/>
      <c r="J396" s="24" t="s">
        <v>289</v>
      </c>
      <c r="K396" s="24" t="s">
        <v>289</v>
      </c>
      <c r="L396" s="56">
        <f t="shared" si="26"/>
        <v>1587.57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974.02</v>
      </c>
      <c r="I397" s="18"/>
      <c r="J397" s="24" t="s">
        <v>289</v>
      </c>
      <c r="K397" s="24" t="s">
        <v>289</v>
      </c>
      <c r="L397" s="56">
        <f t="shared" si="26"/>
        <v>974.02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2561.59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2561.59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2561.59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2561.59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>
        <v>60000</v>
      </c>
      <c r="K422" s="18"/>
      <c r="L422" s="56">
        <f t="shared" si="29"/>
        <v>60000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60000</v>
      </c>
      <c r="K427" s="47">
        <f t="shared" si="30"/>
        <v>0</v>
      </c>
      <c r="L427" s="47">
        <f t="shared" si="30"/>
        <v>60000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60000</v>
      </c>
      <c r="K434" s="47">
        <f t="shared" si="32"/>
        <v>0</v>
      </c>
      <c r="L434" s="47">
        <f t="shared" si="32"/>
        <v>60000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146997.23000000001</v>
      </c>
      <c r="H439" s="18"/>
      <c r="I439" s="56">
        <f t="shared" ref="I439:I445" si="33">SUM(F439:H439)</f>
        <v>146997.23000000001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146997.23000000001</v>
      </c>
      <c r="H446" s="13">
        <f>SUM(H439:H445)</f>
        <v>0</v>
      </c>
      <c r="I446" s="13">
        <f>SUM(I439:I445)</f>
        <v>146997.23000000001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146997.23000000001</v>
      </c>
      <c r="H459" s="18"/>
      <c r="I459" s="56">
        <f t="shared" si="34"/>
        <v>146997.23000000001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146997.23000000001</v>
      </c>
      <c r="H460" s="83">
        <f>SUM(H454:H459)</f>
        <v>0</v>
      </c>
      <c r="I460" s="83">
        <f>SUM(I454:I459)</f>
        <v>146997.23000000001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146997.23000000001</v>
      </c>
      <c r="H461" s="42">
        <f>H452+H460</f>
        <v>0</v>
      </c>
      <c r="I461" s="42">
        <f>I452+I460</f>
        <v>146997.23000000001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143277.64000000001</v>
      </c>
      <c r="G465" s="18">
        <v>-838.25</v>
      </c>
      <c r="H465" s="18">
        <v>18592.48</v>
      </c>
      <c r="I465" s="18"/>
      <c r="J465" s="18">
        <v>204435.64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5251543.4400000004</v>
      </c>
      <c r="G468" s="18">
        <v>113875.63</v>
      </c>
      <c r="H468" s="18">
        <v>17247</v>
      </c>
      <c r="I468" s="18"/>
      <c r="J468" s="18">
        <v>2561.59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5251543.4400000004</v>
      </c>
      <c r="G470" s="53">
        <f>SUM(G468:G469)</f>
        <v>113875.63</v>
      </c>
      <c r="H470" s="53">
        <f>SUM(H468:H469)</f>
        <v>17247</v>
      </c>
      <c r="I470" s="53">
        <f>SUM(I468:I469)</f>
        <v>0</v>
      </c>
      <c r="J470" s="53">
        <f>SUM(J468:J469)</f>
        <v>2561.59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5096859.29</v>
      </c>
      <c r="G472" s="18">
        <v>113037.38</v>
      </c>
      <c r="H472" s="18">
        <v>14079.28</v>
      </c>
      <c r="I472" s="18"/>
      <c r="J472" s="18">
        <v>60000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5096859.29</v>
      </c>
      <c r="G474" s="53">
        <f>SUM(G472:G473)</f>
        <v>113037.38</v>
      </c>
      <c r="H474" s="53">
        <f>SUM(H472:H473)</f>
        <v>14079.28</v>
      </c>
      <c r="I474" s="53">
        <f>SUM(I472:I473)</f>
        <v>0</v>
      </c>
      <c r="J474" s="53">
        <f>SUM(J472:J473)</f>
        <v>60000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297961.79000000004</v>
      </c>
      <c r="G476" s="53">
        <f>(G465+G470)- G474</f>
        <v>0</v>
      </c>
      <c r="H476" s="53">
        <f>(H465+H470)- H474</f>
        <v>21760.199999999997</v>
      </c>
      <c r="I476" s="53">
        <f>(I465+I470)- I474</f>
        <v>0</v>
      </c>
      <c r="J476" s="53">
        <f>(J465+J470)- J474</f>
        <v>146997.23000000001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4410000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4.7699999999999996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1259452.46</v>
      </c>
      <c r="G495" s="18"/>
      <c r="H495" s="18"/>
      <c r="I495" s="18"/>
      <c r="J495" s="18"/>
      <c r="K495" s="53">
        <f>SUM(F495:J495)</f>
        <v>1259452.46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f>F495-F498</f>
        <v>183441.91999999993</v>
      </c>
      <c r="G497" s="18"/>
      <c r="H497" s="18"/>
      <c r="I497" s="18"/>
      <c r="J497" s="18"/>
      <c r="K497" s="53">
        <f t="shared" si="35"/>
        <v>183441.91999999993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1076010.54</v>
      </c>
      <c r="G498" s="204"/>
      <c r="H498" s="204"/>
      <c r="I498" s="204"/>
      <c r="J498" s="204"/>
      <c r="K498" s="205">
        <f t="shared" si="35"/>
        <v>1076010.54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1305117.46</v>
      </c>
      <c r="G499" s="18"/>
      <c r="H499" s="18"/>
      <c r="I499" s="18"/>
      <c r="J499" s="18"/>
      <c r="K499" s="53">
        <f t="shared" si="35"/>
        <v>1305117.46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2381128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2381128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176975.87</v>
      </c>
      <c r="G501" s="204"/>
      <c r="H501" s="204"/>
      <c r="I501" s="204"/>
      <c r="J501" s="204"/>
      <c r="K501" s="205">
        <f t="shared" si="35"/>
        <v>176975.87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156574.63</v>
      </c>
      <c r="G502" s="18"/>
      <c r="H502" s="18"/>
      <c r="I502" s="18"/>
      <c r="J502" s="18"/>
      <c r="K502" s="53">
        <f t="shared" si="35"/>
        <v>156574.63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333550.5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333550.5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490582.07</v>
      </c>
      <c r="G521" s="18">
        <v>143927.67000000001</v>
      </c>
      <c r="H521" s="18">
        <v>192923.56</v>
      </c>
      <c r="I521" s="18">
        <v>6752.02</v>
      </c>
      <c r="J521" s="18">
        <v>750</v>
      </c>
      <c r="K521" s="18"/>
      <c r="L521" s="88">
        <f>SUM(F521:K521)</f>
        <v>834935.32000000007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490582.07</v>
      </c>
      <c r="G524" s="108">
        <f t="shared" ref="G524:L524" si="36">SUM(G521:G523)</f>
        <v>143927.67000000001</v>
      </c>
      <c r="H524" s="108">
        <f t="shared" si="36"/>
        <v>192923.56</v>
      </c>
      <c r="I524" s="108">
        <f t="shared" si="36"/>
        <v>6752.02</v>
      </c>
      <c r="J524" s="108">
        <f t="shared" si="36"/>
        <v>750</v>
      </c>
      <c r="K524" s="108">
        <f t="shared" si="36"/>
        <v>0</v>
      </c>
      <c r="L524" s="89">
        <f t="shared" si="36"/>
        <v>834935.32000000007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317045.36</v>
      </c>
      <c r="G526" s="18">
        <v>82431.8</v>
      </c>
      <c r="H526" s="18">
        <v>546</v>
      </c>
      <c r="I526" s="18">
        <v>4682.6499999999996</v>
      </c>
      <c r="J526" s="18"/>
      <c r="K526" s="18"/>
      <c r="L526" s="88">
        <f>SUM(F526:K526)</f>
        <v>404705.81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317045.36</v>
      </c>
      <c r="G529" s="89">
        <f t="shared" ref="G529:L529" si="37">SUM(G526:G528)</f>
        <v>82431.8</v>
      </c>
      <c r="H529" s="89">
        <f t="shared" si="37"/>
        <v>546</v>
      </c>
      <c r="I529" s="89">
        <f t="shared" si="37"/>
        <v>4682.6499999999996</v>
      </c>
      <c r="J529" s="89">
        <f t="shared" si="37"/>
        <v>0</v>
      </c>
      <c r="K529" s="89">
        <f t="shared" si="37"/>
        <v>0</v>
      </c>
      <c r="L529" s="89">
        <f t="shared" si="37"/>
        <v>404705.81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50955.97</v>
      </c>
      <c r="G531" s="18">
        <v>16815.47</v>
      </c>
      <c r="H531" s="18">
        <v>392.4</v>
      </c>
      <c r="I531" s="18">
        <v>556.49</v>
      </c>
      <c r="J531" s="18">
        <v>208.65</v>
      </c>
      <c r="K531" s="18">
        <v>0</v>
      </c>
      <c r="L531" s="88">
        <f>SUM(F531:K531)</f>
        <v>68928.98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50955.97</v>
      </c>
      <c r="G534" s="89">
        <f t="shared" ref="G534:L534" si="38">SUM(G531:G533)</f>
        <v>16815.47</v>
      </c>
      <c r="H534" s="89">
        <f t="shared" si="38"/>
        <v>392.4</v>
      </c>
      <c r="I534" s="89">
        <f t="shared" si="38"/>
        <v>556.49</v>
      </c>
      <c r="J534" s="89">
        <f t="shared" si="38"/>
        <v>208.65</v>
      </c>
      <c r="K534" s="89">
        <f t="shared" si="38"/>
        <v>0</v>
      </c>
      <c r="L534" s="89">
        <f t="shared" si="38"/>
        <v>68928.98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13141.66</v>
      </c>
      <c r="I536" s="18"/>
      <c r="J536" s="18"/>
      <c r="K536" s="18"/>
      <c r="L536" s="88">
        <f>SUM(F536:K536)</f>
        <v>13141.66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13141.66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13141.66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37530.639999999999</v>
      </c>
      <c r="I541" s="18"/>
      <c r="J541" s="18"/>
      <c r="K541" s="18"/>
      <c r="L541" s="88">
        <f>SUM(F541:K541)</f>
        <v>37530.639999999999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37530.639999999999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37530.639999999999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858583.39999999991</v>
      </c>
      <c r="G545" s="89">
        <f t="shared" ref="G545:L545" si="41">G524+G529+G534+G539+G544</f>
        <v>243174.94000000003</v>
      </c>
      <c r="H545" s="89">
        <f t="shared" si="41"/>
        <v>244534.26</v>
      </c>
      <c r="I545" s="89">
        <f t="shared" si="41"/>
        <v>11991.16</v>
      </c>
      <c r="J545" s="89">
        <f t="shared" si="41"/>
        <v>958.65</v>
      </c>
      <c r="K545" s="89">
        <f t="shared" si="41"/>
        <v>0</v>
      </c>
      <c r="L545" s="89">
        <f t="shared" si="41"/>
        <v>1359242.41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834935.32000000007</v>
      </c>
      <c r="G549" s="87">
        <f>L526</f>
        <v>404705.81</v>
      </c>
      <c r="H549" s="87">
        <f>L531</f>
        <v>68928.98</v>
      </c>
      <c r="I549" s="87">
        <f>L536</f>
        <v>13141.66</v>
      </c>
      <c r="J549" s="87">
        <f>L541</f>
        <v>37530.639999999999</v>
      </c>
      <c r="K549" s="87">
        <f>SUM(F549:J549)</f>
        <v>1359242.41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834935.32000000007</v>
      </c>
      <c r="G552" s="89">
        <f t="shared" si="42"/>
        <v>404705.81</v>
      </c>
      <c r="H552" s="89">
        <f t="shared" si="42"/>
        <v>68928.98</v>
      </c>
      <c r="I552" s="89">
        <f t="shared" si="42"/>
        <v>13141.66</v>
      </c>
      <c r="J552" s="89">
        <f t="shared" si="42"/>
        <v>37530.639999999999</v>
      </c>
      <c r="K552" s="89">
        <f t="shared" si="42"/>
        <v>1359242.41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176125.95</v>
      </c>
      <c r="G580" s="18"/>
      <c r="H580" s="18"/>
      <c r="I580" s="87">
        <f t="shared" si="47"/>
        <v>176125.95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155563.20000000001</v>
      </c>
      <c r="I591" s="18"/>
      <c r="J591" s="18"/>
      <c r="K591" s="104">
        <f t="shared" ref="K591:K597" si="48">SUM(H591:J591)</f>
        <v>155563.20000000001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37530.639999999999</v>
      </c>
      <c r="I592" s="18"/>
      <c r="J592" s="18"/>
      <c r="K592" s="104">
        <f t="shared" si="48"/>
        <v>37530.639999999999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193093.84000000003</v>
      </c>
      <c r="I598" s="108">
        <f>SUM(I591:I597)</f>
        <v>0</v>
      </c>
      <c r="J598" s="108">
        <f>SUM(J591:J597)</f>
        <v>0</v>
      </c>
      <c r="K598" s="108">
        <f>SUM(K591:K597)</f>
        <v>193093.84000000003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49219.45</v>
      </c>
      <c r="I604" s="18"/>
      <c r="J604" s="18"/>
      <c r="K604" s="104">
        <f>SUM(H604:J604)</f>
        <v>49219.45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49219.45</v>
      </c>
      <c r="I605" s="108">
        <f>SUM(I602:I604)</f>
        <v>0</v>
      </c>
      <c r="J605" s="108">
        <f>SUM(J602:J604)</f>
        <v>0</v>
      </c>
      <c r="K605" s="108">
        <f>SUM(K602:K604)</f>
        <v>49219.45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468207.7</v>
      </c>
      <c r="H617" s="109">
        <f>SUM(F52)</f>
        <v>468207.69999999995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5626.2</v>
      </c>
      <c r="H618" s="109">
        <f>SUM(G52)</f>
        <v>5626.2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146997.23000000001</v>
      </c>
      <c r="H621" s="109">
        <f>SUM(J52)</f>
        <v>146997.23000000001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297961.78999999998</v>
      </c>
      <c r="H622" s="109">
        <f>F476</f>
        <v>297961.79000000004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21760.2</v>
      </c>
      <c r="H624" s="109">
        <f>H476</f>
        <v>21760.199999999997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146997.23000000001</v>
      </c>
      <c r="H626" s="109">
        <f>J476</f>
        <v>146997.23000000001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5251543.4400000004</v>
      </c>
      <c r="H627" s="104">
        <f>SUM(F468)</f>
        <v>5251543.4400000004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113875.63</v>
      </c>
      <c r="H628" s="104">
        <f>SUM(G468)</f>
        <v>113875.63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17247</v>
      </c>
      <c r="H629" s="104">
        <f>SUM(H468)</f>
        <v>17247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2561.59</v>
      </c>
      <c r="H631" s="104">
        <f>SUM(J468)</f>
        <v>2561.59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5096859.29</v>
      </c>
      <c r="H632" s="104">
        <f>SUM(F472)</f>
        <v>5096859.29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14079.28</v>
      </c>
      <c r="H633" s="104">
        <f>SUM(H472)</f>
        <v>14079.28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47744.43</v>
      </c>
      <c r="H634" s="104">
        <f>I369</f>
        <v>47744.43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113037.38</v>
      </c>
      <c r="H635" s="104">
        <f>SUM(G472)</f>
        <v>113037.38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2561.59</v>
      </c>
      <c r="H637" s="164">
        <f>SUM(J468)</f>
        <v>2561.59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60000</v>
      </c>
      <c r="H638" s="164">
        <f>SUM(J472)</f>
        <v>60000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146997.23000000001</v>
      </c>
      <c r="H640" s="104">
        <f>SUM(G461)</f>
        <v>146997.23000000001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146997.23000000001</v>
      </c>
      <c r="H642" s="104">
        <f>SUM(I461)</f>
        <v>146997.23000000001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2561.59</v>
      </c>
      <c r="H644" s="104">
        <f>H408</f>
        <v>2561.59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2561.59</v>
      </c>
      <c r="H646" s="104">
        <f>L408</f>
        <v>2561.59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193093.84000000003</v>
      </c>
      <c r="H647" s="104">
        <f>L208+L226+L244</f>
        <v>193093.84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49219.45</v>
      </c>
      <c r="H648" s="104">
        <f>(J257+J338)-(J255+J336)</f>
        <v>49219.45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193093.84</v>
      </c>
      <c r="H649" s="104">
        <f>H598</f>
        <v>193093.84000000003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4894053.57</v>
      </c>
      <c r="G660" s="19">
        <f>(L229+L309+L359)</f>
        <v>0</v>
      </c>
      <c r="H660" s="19">
        <f>(L247+L328+L360)</f>
        <v>0</v>
      </c>
      <c r="I660" s="19">
        <f>SUM(F660:H660)</f>
        <v>4894053.57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88398.67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88398.67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193093.84</v>
      </c>
      <c r="G662" s="19">
        <f>(L226+L306)-(J226+J306)</f>
        <v>0</v>
      </c>
      <c r="H662" s="19">
        <f>(L244+L325)-(J244+J325)</f>
        <v>0</v>
      </c>
      <c r="I662" s="19">
        <f>SUM(F662:H662)</f>
        <v>193093.84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225345.40000000002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225345.40000000002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4387215.66</v>
      </c>
      <c r="G664" s="19">
        <f>G660-SUM(G661:G663)</f>
        <v>0</v>
      </c>
      <c r="H664" s="19">
        <f>H660-SUM(H661:H663)</f>
        <v>0</v>
      </c>
      <c r="I664" s="19">
        <f>I660-SUM(I661:I663)</f>
        <v>4387215.66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306.62</v>
      </c>
      <c r="G665" s="248"/>
      <c r="H665" s="248"/>
      <c r="I665" s="19">
        <f>SUM(F665:H665)</f>
        <v>306.62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14308.32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14308.32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14308.32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14308.32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Brentwood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1657687.01</v>
      </c>
      <c r="C9" s="229">
        <f>'DOE25'!G197+'DOE25'!G215+'DOE25'!G233+'DOE25'!G276+'DOE25'!G295+'DOE25'!G314</f>
        <v>623926.99</v>
      </c>
    </row>
    <row r="10" spans="1:3" x14ac:dyDescent="0.2">
      <c r="A10" t="s">
        <v>779</v>
      </c>
      <c r="B10" s="240">
        <v>1552792.8</v>
      </c>
      <c r="C10" s="240">
        <v>612082.46</v>
      </c>
    </row>
    <row r="11" spans="1:3" x14ac:dyDescent="0.2">
      <c r="A11" t="s">
        <v>780</v>
      </c>
      <c r="B11" s="240">
        <v>68763.210000000006</v>
      </c>
      <c r="C11" s="240">
        <v>8114.75</v>
      </c>
    </row>
    <row r="12" spans="1:3" x14ac:dyDescent="0.2">
      <c r="A12" t="s">
        <v>781</v>
      </c>
      <c r="B12" s="240">
        <v>36131</v>
      </c>
      <c r="C12" s="240">
        <v>3729.78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1657687.01</v>
      </c>
      <c r="C13" s="231">
        <f>SUM(C10:C12)</f>
        <v>623926.99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490582.07</v>
      </c>
      <c r="C18" s="229">
        <f>'DOE25'!G198+'DOE25'!G216+'DOE25'!G234+'DOE25'!G277+'DOE25'!G296+'DOE25'!G315</f>
        <v>143927.67000000001</v>
      </c>
    </row>
    <row r="19" spans="1:3" x14ac:dyDescent="0.2">
      <c r="A19" t="s">
        <v>779</v>
      </c>
      <c r="B19" s="240">
        <v>197185</v>
      </c>
      <c r="C19" s="240">
        <v>58071.45</v>
      </c>
    </row>
    <row r="20" spans="1:3" x14ac:dyDescent="0.2">
      <c r="A20" t="s">
        <v>780</v>
      </c>
      <c r="B20" s="240">
        <v>293397.07</v>
      </c>
      <c r="C20" s="240">
        <v>85856.22</v>
      </c>
    </row>
    <row r="21" spans="1:3" x14ac:dyDescent="0.2">
      <c r="A21" t="s">
        <v>781</v>
      </c>
      <c r="B21" s="240">
        <v>0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490582.07</v>
      </c>
      <c r="C22" s="231">
        <f>SUM(C19:C21)</f>
        <v>143927.66999999998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6370.2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6370.2</v>
      </c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6370.2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Brentwood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3189015.6800000006</v>
      </c>
      <c r="D5" s="20">
        <f>SUM('DOE25'!L197:L200)+SUM('DOE25'!L215:L218)+SUM('DOE25'!L233:L236)-F5-G5</f>
        <v>3188265.6800000006</v>
      </c>
      <c r="E5" s="243"/>
      <c r="F5" s="255">
        <f>SUM('DOE25'!J197:J200)+SUM('DOE25'!J215:J218)+SUM('DOE25'!J233:J236)</f>
        <v>750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403007.4</v>
      </c>
      <c r="D6" s="20">
        <f>'DOE25'!L202+'DOE25'!L220+'DOE25'!L238-F6-G6</f>
        <v>403007.4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192934.19</v>
      </c>
      <c r="D7" s="20">
        <f>'DOE25'!L203+'DOE25'!L221+'DOE25'!L239-F7-G7</f>
        <v>150529.26</v>
      </c>
      <c r="E7" s="243"/>
      <c r="F7" s="255">
        <f>'DOE25'!J203+'DOE25'!J221+'DOE25'!J239</f>
        <v>42404.93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119579.8</v>
      </c>
      <c r="D8" s="243"/>
      <c r="E8" s="20">
        <f>'DOE25'!L204+'DOE25'!L222+'DOE25'!L240-F8-G8-D9-D11</f>
        <v>119579.8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1371.58</v>
      </c>
      <c r="D9" s="244">
        <v>1371.58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7031.25</v>
      </c>
      <c r="D10" s="243"/>
      <c r="E10" s="244">
        <v>7031.25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15860.61</v>
      </c>
      <c r="D11" s="244">
        <v>15860.61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241186.72</v>
      </c>
      <c r="D12" s="20">
        <f>'DOE25'!L205+'DOE25'!L223+'DOE25'!L241-F12-G12</f>
        <v>240725.62</v>
      </c>
      <c r="E12" s="243"/>
      <c r="F12" s="255">
        <f>'DOE25'!J205+'DOE25'!J223+'DOE25'!J241</f>
        <v>420.78</v>
      </c>
      <c r="G12" s="53">
        <f>'DOE25'!K205+'DOE25'!K223+'DOE25'!K241</f>
        <v>40.32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408349.75</v>
      </c>
      <c r="D14" s="20">
        <f>'DOE25'!L207+'DOE25'!L225+'DOE25'!L243-F14-G14</f>
        <v>402706.01</v>
      </c>
      <c r="E14" s="243"/>
      <c r="F14" s="255">
        <f>'DOE25'!J207+'DOE25'!J225+'DOE25'!J243</f>
        <v>5643.74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193093.84</v>
      </c>
      <c r="D15" s="20">
        <f>'DOE25'!L208+'DOE25'!L226+'DOE25'!L244-F15-G15</f>
        <v>193093.84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2537.34</v>
      </c>
      <c r="D16" s="243"/>
      <c r="E16" s="20">
        <f>'DOE25'!L209+'DOE25'!L227+'DOE25'!L245-F16-G16</f>
        <v>2537.34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329922.38</v>
      </c>
      <c r="D25" s="243"/>
      <c r="E25" s="243"/>
      <c r="F25" s="258"/>
      <c r="G25" s="256"/>
      <c r="H25" s="257">
        <f>'DOE25'!L260+'DOE25'!L261+'DOE25'!L341+'DOE25'!L342</f>
        <v>329922.38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65292.950000000004</v>
      </c>
      <c r="D29" s="20">
        <f>'DOE25'!L358+'DOE25'!L359+'DOE25'!L360-'DOE25'!I367-F29-G29</f>
        <v>65292.950000000004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14079.28</v>
      </c>
      <c r="D31" s="20">
        <f>'DOE25'!L290+'DOE25'!L309+'DOE25'!L328+'DOE25'!L333+'DOE25'!L334+'DOE25'!L335-F31-G31</f>
        <v>14079.28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4674932.2300000014</v>
      </c>
      <c r="E33" s="246">
        <f>SUM(E5:E31)</f>
        <v>129148.39</v>
      </c>
      <c r="F33" s="246">
        <f>SUM(F5:F31)</f>
        <v>49219.45</v>
      </c>
      <c r="G33" s="246">
        <f>SUM(G5:G31)</f>
        <v>40.32</v>
      </c>
      <c r="H33" s="246">
        <f>SUM(H5:H31)</f>
        <v>329922.38</v>
      </c>
    </row>
    <row r="35" spans="2:8" ht="12" thickBot="1" x14ac:dyDescent="0.25">
      <c r="B35" s="253" t="s">
        <v>847</v>
      </c>
      <c r="D35" s="254">
        <f>E33</f>
        <v>129148.39</v>
      </c>
      <c r="E35" s="249"/>
    </row>
    <row r="36" spans="2:8" ht="12" thickTop="1" x14ac:dyDescent="0.2">
      <c r="B36" t="s">
        <v>815</v>
      </c>
      <c r="D36" s="20">
        <f>D33</f>
        <v>4674932.2300000014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Brentwood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-143.43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146997.23000000001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459152.19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9198.94</v>
      </c>
      <c r="D13" s="95">
        <f>'DOE25'!G14</f>
        <v>1824.59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3801.61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468207.7</v>
      </c>
      <c r="D18" s="41">
        <f>SUM(D8:D17)</f>
        <v>5626.2</v>
      </c>
      <c r="E18" s="41">
        <f>SUM(E8:E17)</f>
        <v>0</v>
      </c>
      <c r="F18" s="41">
        <f>SUM(F8:F17)</f>
        <v>0</v>
      </c>
      <c r="G18" s="41">
        <f>SUM(G8:G17)</f>
        <v>146997.23000000001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16134</v>
      </c>
      <c r="D21" s="95">
        <f>'DOE25'!G22</f>
        <v>5626.2</v>
      </c>
      <c r="E21" s="95">
        <f>'DOE25'!H22</f>
        <v>-21760.2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154111.91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170245.91</v>
      </c>
      <c r="D31" s="41">
        <f>SUM(D21:D30)</f>
        <v>5626.2</v>
      </c>
      <c r="E31" s="41">
        <f>SUM(E21:E30)</f>
        <v>-21760.2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21760.2</v>
      </c>
      <c r="F47" s="95">
        <f>'DOE25'!I48</f>
        <v>0</v>
      </c>
      <c r="G47" s="95">
        <f>'DOE25'!J48</f>
        <v>146997.23000000001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297961.78999999998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297961.78999999998</v>
      </c>
      <c r="D50" s="41">
        <f>SUM(D34:D49)</f>
        <v>0</v>
      </c>
      <c r="E50" s="41">
        <f>SUM(E34:E49)</f>
        <v>21760.2</v>
      </c>
      <c r="F50" s="41">
        <f>SUM(F34:F49)</f>
        <v>0</v>
      </c>
      <c r="G50" s="41">
        <f>SUM(G34:G49)</f>
        <v>146997.23000000001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468207.69999999995</v>
      </c>
      <c r="D51" s="41">
        <f>D50+D31</f>
        <v>5626.2</v>
      </c>
      <c r="E51" s="41">
        <f>E50+E31</f>
        <v>0</v>
      </c>
      <c r="F51" s="41">
        <f>F50+F31</f>
        <v>0</v>
      </c>
      <c r="G51" s="41">
        <f>G50+G31</f>
        <v>146997.23000000001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3726115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3770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690.63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2561.59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88398.67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64808.61</v>
      </c>
      <c r="D61" s="95">
        <f>SUM('DOE25'!G98:G110)</f>
        <v>0</v>
      </c>
      <c r="E61" s="95">
        <f>SUM('DOE25'!H98:H110)</f>
        <v>17247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69269.240000000005</v>
      </c>
      <c r="D62" s="130">
        <f>SUM(D57:D61)</f>
        <v>88398.67</v>
      </c>
      <c r="E62" s="130">
        <f>SUM(E57:E61)</f>
        <v>17247</v>
      </c>
      <c r="F62" s="130">
        <f>SUM(F57:F61)</f>
        <v>0</v>
      </c>
      <c r="G62" s="130">
        <f>SUM(G57:G61)</f>
        <v>2561.59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3795384.24</v>
      </c>
      <c r="D63" s="22">
        <f>D56+D62</f>
        <v>88398.67</v>
      </c>
      <c r="E63" s="22">
        <f>E56+E62</f>
        <v>17247</v>
      </c>
      <c r="F63" s="22">
        <f>F56+F62</f>
        <v>0</v>
      </c>
      <c r="G63" s="22">
        <f>G56+G62</f>
        <v>2561.59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807294.94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469923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1277217.94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78671.66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47204.12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1481.69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125875.78</v>
      </c>
      <c r="D78" s="130">
        <f>SUM(D72:D77)</f>
        <v>1481.69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1403093.72</v>
      </c>
      <c r="D81" s="130">
        <f>SUM(D79:D80)+D78+D70</f>
        <v>1481.69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53065.48</v>
      </c>
      <c r="D88" s="95">
        <f>SUM('DOE25'!G153:G161)</f>
        <v>23995.27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53065.48</v>
      </c>
      <c r="D91" s="131">
        <f>SUM(D85:D90)</f>
        <v>23995.27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5251543.4400000004</v>
      </c>
      <c r="D104" s="86">
        <f>D63+D81+D91+D103</f>
        <v>113875.63</v>
      </c>
      <c r="E104" s="86">
        <f>E63+E81+E91+E103</f>
        <v>17247</v>
      </c>
      <c r="F104" s="86">
        <f>F63+F81+F91+F103</f>
        <v>0</v>
      </c>
      <c r="G104" s="86">
        <f>G63+G81+G103</f>
        <v>2561.59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2347710.16</v>
      </c>
      <c r="D109" s="24" t="s">
        <v>289</v>
      </c>
      <c r="E109" s="95">
        <f>('DOE25'!L276)+('DOE25'!L295)+('DOE25'!L314)</f>
        <v>14079.28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834935.32000000007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6370.2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3189015.6800000006</v>
      </c>
      <c r="D115" s="86">
        <f>SUM(D109:D114)</f>
        <v>0</v>
      </c>
      <c r="E115" s="86">
        <f>SUM(E109:E114)</f>
        <v>14079.28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403007.4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192934.19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136811.99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241186.72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408349.75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193093.84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2537.34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113037.38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1577921.2300000002</v>
      </c>
      <c r="D128" s="86">
        <f>SUM(D118:D127)</f>
        <v>113037.38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183441.92000000001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146480.46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2561.59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-2561.59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329922.38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5096859.290000001</v>
      </c>
      <c r="D145" s="86">
        <f>(D115+D128+D144)</f>
        <v>113037.38</v>
      </c>
      <c r="E145" s="86">
        <f>(E115+E128+E144)</f>
        <v>14079.28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08/21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4410000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4.7699999999999996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1259452.46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1259452.46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183441.91999999993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183441.91999999993</v>
      </c>
    </row>
    <row r="159" spans="1:9" x14ac:dyDescent="0.2">
      <c r="A159" s="22" t="s">
        <v>35</v>
      </c>
      <c r="B159" s="137">
        <f>'DOE25'!F498</f>
        <v>1076010.54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1076010.54</v>
      </c>
    </row>
    <row r="160" spans="1:9" x14ac:dyDescent="0.2">
      <c r="A160" s="22" t="s">
        <v>36</v>
      </c>
      <c r="B160" s="137">
        <f>'DOE25'!F499</f>
        <v>1305117.46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1305117.46</v>
      </c>
    </row>
    <row r="161" spans="1:7" x14ac:dyDescent="0.2">
      <c r="A161" s="22" t="s">
        <v>37</v>
      </c>
      <c r="B161" s="137">
        <f>'DOE25'!F500</f>
        <v>2381128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2381128</v>
      </c>
    </row>
    <row r="162" spans="1:7" x14ac:dyDescent="0.2">
      <c r="A162" s="22" t="s">
        <v>38</v>
      </c>
      <c r="B162" s="137">
        <f>'DOE25'!F501</f>
        <v>176975.87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176975.87</v>
      </c>
    </row>
    <row r="163" spans="1:7" x14ac:dyDescent="0.2">
      <c r="A163" s="22" t="s">
        <v>39</v>
      </c>
      <c r="B163" s="137">
        <f>'DOE25'!F502</f>
        <v>156574.63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156574.63</v>
      </c>
    </row>
    <row r="164" spans="1:7" x14ac:dyDescent="0.2">
      <c r="A164" s="22" t="s">
        <v>246</v>
      </c>
      <c r="B164" s="137">
        <f>'DOE25'!F503</f>
        <v>333550.5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333550.5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Brentwood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14308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14308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2361789</v>
      </c>
      <c r="D10" s="182">
        <f>ROUND((C10/$C$28)*100,1)</f>
        <v>47.7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834935</v>
      </c>
      <c r="D11" s="182">
        <f>ROUND((C11/$C$28)*100,1)</f>
        <v>16.899999999999999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6370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403007</v>
      </c>
      <c r="D15" s="182">
        <f t="shared" ref="D15:D27" si="0">ROUND((C15/$C$28)*100,1)</f>
        <v>8.1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192934</v>
      </c>
      <c r="D16" s="182">
        <f t="shared" si="0"/>
        <v>3.9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139349</v>
      </c>
      <c r="D17" s="182">
        <f t="shared" si="0"/>
        <v>2.8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241187</v>
      </c>
      <c r="D18" s="182">
        <f t="shared" si="0"/>
        <v>4.9000000000000004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408350</v>
      </c>
      <c r="D20" s="182">
        <f t="shared" si="0"/>
        <v>8.1999999999999993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193094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146480</v>
      </c>
      <c r="D25" s="182">
        <f t="shared" si="0"/>
        <v>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24638.33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4952133.33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4952133.33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183442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3726115</v>
      </c>
      <c r="D35" s="182">
        <f t="shared" ref="D35:D40" si="1">ROUND((C35/$C$41)*100,1)</f>
        <v>70.3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89077.830000000075</v>
      </c>
      <c r="D36" s="182">
        <f t="shared" si="1"/>
        <v>1.7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1277218</v>
      </c>
      <c r="D37" s="182">
        <f t="shared" si="1"/>
        <v>24.1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127357</v>
      </c>
      <c r="D38" s="182">
        <f t="shared" si="1"/>
        <v>2.4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77061</v>
      </c>
      <c r="D39" s="182">
        <f t="shared" si="1"/>
        <v>1.5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5296828.83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4" sqref="C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Brentwood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24</v>
      </c>
      <c r="C4" s="285" t="s">
        <v>914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4:M4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2015-12-18T13:41:58Z</cp:lastPrinted>
  <dcterms:created xsi:type="dcterms:W3CDTF">1997-12-04T19:04:30Z</dcterms:created>
  <dcterms:modified xsi:type="dcterms:W3CDTF">2015-12-18T13:42:57Z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