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F50" i="1"/>
  <c r="H204" i="1"/>
  <c r="F23" i="1"/>
  <c r="C21" i="12" l="1"/>
  <c r="C20" i="12"/>
  <c r="C19" i="12"/>
  <c r="C12" i="12"/>
  <c r="C11" i="12"/>
  <c r="C10" i="12"/>
  <c r="G502" i="1" l="1"/>
  <c r="F502" i="1"/>
  <c r="G498" i="1"/>
  <c r="F498" i="1"/>
  <c r="F13" i="1"/>
  <c r="F468" i="1"/>
  <c r="H591" i="1" l="1"/>
  <c r="I203" i="1" l="1"/>
  <c r="G203" i="1"/>
  <c r="G282" i="1"/>
  <c r="G12" i="1"/>
  <c r="G465" i="1"/>
  <c r="H207" i="1" l="1"/>
  <c r="K205" i="1"/>
  <c r="H205" i="1"/>
  <c r="K204" i="1"/>
  <c r="H203" i="1"/>
  <c r="H202" i="1"/>
  <c r="K198" i="1"/>
  <c r="H198" i="1"/>
  <c r="H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3" i="10"/>
  <c r="C15" i="10"/>
  <c r="C16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L247" i="1"/>
  <c r="F661" i="1"/>
  <c r="G661" i="1"/>
  <c r="I661" i="1" s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E121" i="2"/>
  <c r="C122" i="2"/>
  <c r="E122" i="2"/>
  <c r="C123" i="2"/>
  <c r="E124" i="2"/>
  <c r="C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I401" i="1"/>
  <c r="F407" i="1"/>
  <c r="G407" i="1"/>
  <c r="H407" i="1"/>
  <c r="I407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H640" i="1"/>
  <c r="G641" i="1"/>
  <c r="H641" i="1"/>
  <c r="G643" i="1"/>
  <c r="G644" i="1"/>
  <c r="H644" i="1"/>
  <c r="G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H664" i="1" s="1"/>
  <c r="L351" i="1"/>
  <c r="A31" i="12"/>
  <c r="C70" i="2"/>
  <c r="A40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F78" i="2"/>
  <c r="F81" i="2" s="1"/>
  <c r="C78" i="2"/>
  <c r="D50" i="2"/>
  <c r="G157" i="2"/>
  <c r="F18" i="2"/>
  <c r="E103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I476" i="1"/>
  <c r="H625" i="1" s="1"/>
  <c r="J625" i="1" s="1"/>
  <c r="J140" i="1"/>
  <c r="F571" i="1"/>
  <c r="K550" i="1"/>
  <c r="G22" i="2"/>
  <c r="K545" i="1"/>
  <c r="J552" i="1"/>
  <c r="C29" i="10"/>
  <c r="H140" i="1"/>
  <c r="L393" i="1"/>
  <c r="F22" i="13"/>
  <c r="J651" i="1"/>
  <c r="H571" i="1"/>
  <c r="L560" i="1"/>
  <c r="J545" i="1"/>
  <c r="G192" i="1"/>
  <c r="H192" i="1"/>
  <c r="F552" i="1"/>
  <c r="C35" i="10"/>
  <c r="L309" i="1"/>
  <c r="E16" i="13"/>
  <c r="C16" i="13" s="1"/>
  <c r="L570" i="1"/>
  <c r="I571" i="1"/>
  <c r="J636" i="1"/>
  <c r="G36" i="2"/>
  <c r="L565" i="1"/>
  <c r="K551" i="1"/>
  <c r="C22" i="13"/>
  <c r="C138" i="2"/>
  <c r="I545" i="1" l="1"/>
  <c r="C17" i="10"/>
  <c r="A13" i="12"/>
  <c r="K500" i="1"/>
  <c r="L539" i="1"/>
  <c r="H545" i="1"/>
  <c r="L534" i="1"/>
  <c r="G545" i="1"/>
  <c r="K549" i="1"/>
  <c r="K552" i="1" s="1"/>
  <c r="L529" i="1"/>
  <c r="K598" i="1"/>
  <c r="G647" i="1" s="1"/>
  <c r="J647" i="1" s="1"/>
  <c r="C62" i="2"/>
  <c r="F112" i="1"/>
  <c r="C36" i="10" s="1"/>
  <c r="J645" i="1"/>
  <c r="J655" i="1"/>
  <c r="K271" i="1"/>
  <c r="E31" i="2"/>
  <c r="J640" i="1"/>
  <c r="G476" i="1"/>
  <c r="H623" i="1" s="1"/>
  <c r="J623" i="1" s="1"/>
  <c r="H25" i="13"/>
  <c r="C132" i="2"/>
  <c r="J622" i="1"/>
  <c r="I52" i="1"/>
  <c r="H620" i="1" s="1"/>
  <c r="H52" i="1"/>
  <c r="H619" i="1" s="1"/>
  <c r="J619" i="1" s="1"/>
  <c r="C81" i="2"/>
  <c r="C63" i="2"/>
  <c r="D31" i="2"/>
  <c r="D51" i="2" s="1"/>
  <c r="J617" i="1"/>
  <c r="C18" i="2"/>
  <c r="E125" i="2"/>
  <c r="E115" i="2"/>
  <c r="L290" i="1"/>
  <c r="L338" i="1" s="1"/>
  <c r="L352" i="1" s="1"/>
  <c r="G633" i="1" s="1"/>
  <c r="J633" i="1" s="1"/>
  <c r="K338" i="1"/>
  <c r="K352" i="1" s="1"/>
  <c r="E128" i="2"/>
  <c r="C20" i="10"/>
  <c r="C18" i="10"/>
  <c r="C10" i="10"/>
  <c r="G649" i="1"/>
  <c r="J649" i="1" s="1"/>
  <c r="D12" i="13"/>
  <c r="C12" i="13" s="1"/>
  <c r="C121" i="2"/>
  <c r="C128" i="2" s="1"/>
  <c r="L211" i="1"/>
  <c r="F660" i="1" s="1"/>
  <c r="E33" i="13"/>
  <c r="D35" i="13" s="1"/>
  <c r="D5" i="13"/>
  <c r="C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04" i="2" l="1"/>
  <c r="F193" i="1"/>
  <c r="G627" i="1" s="1"/>
  <c r="J627" i="1" s="1"/>
  <c r="L545" i="1"/>
  <c r="H646" i="1"/>
  <c r="G104" i="2"/>
  <c r="C25" i="13"/>
  <c r="H33" i="13"/>
  <c r="F51" i="2"/>
  <c r="G672" i="1"/>
  <c r="C5" i="10" s="1"/>
  <c r="E145" i="2"/>
  <c r="D31" i="13"/>
  <c r="C31" i="13" s="1"/>
  <c r="C28" i="10"/>
  <c r="D23" i="10" s="1"/>
  <c r="F33" i="13"/>
  <c r="L257" i="1"/>
  <c r="L271" i="1" s="1"/>
  <c r="G632" i="1" s="1"/>
  <c r="J632" i="1" s="1"/>
  <c r="C145" i="2"/>
  <c r="F664" i="1"/>
  <c r="F672" i="1" s="1"/>
  <c r="C4" i="10" s="1"/>
  <c r="I660" i="1"/>
  <c r="I664" i="1" s="1"/>
  <c r="I672" i="1" s="1"/>
  <c r="C7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12" i="10" l="1"/>
  <c r="D20" i="10"/>
  <c r="D18" i="10"/>
  <c r="D15" i="10"/>
  <c r="D25" i="10"/>
  <c r="D19" i="10"/>
  <c r="F667" i="1"/>
  <c r="D27" i="10"/>
  <c r="D17" i="10"/>
  <c r="D24" i="10"/>
  <c r="D10" i="10"/>
  <c r="D13" i="10"/>
  <c r="D26" i="10"/>
  <c r="D11" i="10"/>
  <c r="C30" i="10"/>
  <c r="D21" i="10"/>
  <c r="D16" i="10"/>
  <c r="D22" i="10"/>
  <c r="D33" i="13"/>
  <c r="D36" i="13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<sst xmlns="http://schemas.openxmlformats.org/spreadsheetml/2006/main" count="3959" uniqueCount="917">
  <si>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</si>
  <si>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</si>
  <si>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</si>
  <si>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</si>
  <si>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</si>
  <si>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</si>
  <si>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</si>
  <si>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</si>
  <si>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</si>
  <si>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</si>
  <si>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</si>
  <si>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</si>
  <si>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</si>
  <si>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</si>
  <si>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</si>
  <si>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</si>
  <si>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</si>
  <si>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</si>
  <si>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</si>
  <si>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</si>
  <si>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</si>
  <si>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</si>
  <si>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</si>
  <si>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</si>
  <si>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</si>
  <si>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</si>
  <si>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</si>
  <si>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</si>
  <si>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</si>
  <si>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</si>
  <si>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</si>
  <si>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</si>
  <si>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</si>
  <si>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</si>
  <si>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</si>
  <si>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</si>
  <si>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</si>
  <si>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</si>
  <si>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</si>
  <si>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</si>
  <si>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</si>
  <si>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</si>
  <si>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</si>
  <si>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</si>
  <si>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</si>
  <si>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</si>
  <si>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</si>
  <si>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</si>
  <si>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</si>
  <si>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</si>
  <si>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</si>
  <si>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</si>
  <si>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</si>
  <si>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</si>
  <si>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</si>
  <si>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</si>
  <si>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</si>
  <si>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</si>
  <si>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</si>
  <si>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</si>
  <si>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</si>
  <si>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</si>
  <si>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</si>
  <si>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</si>
  <si>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</si>
  <si>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</si>
  <si>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</si>
  <si>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</si>
  <si>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</si>
  <si>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</si>
  <si>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</si>
  <si>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</si>
  <si>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</si>
  <si>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</si>
  <si>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</si>
  <si>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</si>
  <si>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</si>
  <si>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</si>
  <si>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</si>
  <si>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</si>
  <si>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</si>
  <si>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</si>
  <si>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</si>
  <si>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</si>
  <si>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</si>
  <si>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</si>
  <si>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</si>
  <si>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</si>
  <si>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</si>
  <si>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</si>
  <si>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</si>
  <si>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</si>
  <si>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</si>
  <si>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</si>
  <si>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</si>
  <si>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</si>
  <si>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</si>
  <si>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</si>
  <si>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</si>
  <si>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</si>
  <si>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</si>
  <si>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</si>
  <si>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</si>
  <si>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</si>
  <si>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</si>
  <si>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</si>
  <si>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</si>
  <si>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</si>
  <si>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</si>
  <si>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</si>
  <si>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</si>
  <si>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</si>
  <si>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</si>
  <si>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</si>
  <si>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</si>
  <si>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</si>
  <si>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</si>
  <si>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</si>
  <si>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</si>
  <si>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</si>
  <si>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</si>
  <si>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</si>
  <si>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</si>
  <si>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</si>
  <si>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</si>
  <si>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</si>
  <si>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</si>
  <si>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</si>
  <si>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</si>
  <si>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</si>
  <si>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</si>
  <si>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</si>
  <si>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</si>
  <si>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</si>
  <si>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</si>
  <si>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</si>
  <si>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</si>
  <si>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</si>
  <si>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</si>
  <si>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</si>
  <si>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</si>
  <si>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</si>
  <si>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</si>
  <si>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</si>
  <si>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</si>
  <si>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</si>
  <si>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</si>
  <si>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</si>
  <si>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</si>
  <si>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</si>
  <si>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</si>
  <si>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</si>
  <si>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</si>
  <si>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</si>
  <si>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</si>
  <si>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</si>
  <si>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</si>
  <si>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</si>
  <si>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</si>
  <si>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</si>
  <si>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</si>
  <si>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</si>
  <si>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</si>
  <si>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</si>
  <si>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</si>
  <si>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</si>
  <si>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</si>
  <si>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</si>
  <si>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</si>
  <si>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</si>
  <si>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</si>
  <si>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</si>
  <si>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</si>
  <si>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</si>
  <si>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</si>
  <si>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</si>
  <si>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</si>
  <si>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</si>
  <si>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</si>
  <si>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</si>
  <si>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</si>
  <si>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</si>
  <si>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</si>
  <si>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</si>
  <si>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</si>
  <si>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</si>
  <si>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</si>
  <si>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</si>
  <si>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</si>
  <si>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</si>
  <si>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</si>
  <si>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</si>
  <si>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</si>
  <si>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</si>
  <si>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</si>
  <si>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</si>
  <si>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</si>
  <si>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</si>
  <si>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</si>
  <si>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</si>
  <si>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</si>
  <si>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</si>
  <si>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</si>
  <si>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</si>
  <si>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</si>
  <si>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</si>
  <si>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</si>
  <si>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</si>
  <si>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</si>
  <si>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</si>
  <si>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</si>
  <si>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</si>
  <si>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</si>
  <si>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</si>
  <si>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</si>
  <si>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</si>
  <si>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</si>
  <si>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</si>
  <si>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</si>
  <si>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</si>
  <si>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</si>
  <si>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</si>
  <si>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</si>
  <si>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</si>
  <si>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</si>
  <si>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</si>
  <si>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</si>
  <si>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</si>
  <si>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</si>
  <si>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</si>
  <si>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</si>
  <si>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</si>
  <si>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</si>
  <si>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</si>
  <si>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</si>
  <si>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</si>
  <si>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</si>
  <si>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</si>
  <si>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</si>
  <si>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</si>
  <si>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</si>
  <si>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</si>
  <si>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</si>
  <si>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</si>
  <si>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</si>
  <si>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</si>
  <si>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</si>
  <si>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</si>
  <si>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</si>
  <si>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</si>
  <si>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</si>
  <si>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</si>
  <si>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</si>
  <si>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</si>
  <si>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</si>
  <si>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</si>
  <si>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</si>
  <si>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</si>
  <si>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</si>
  <si>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</si>
  <si>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</si>
  <si>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</si>
  <si>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</si>
  <si>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</si>
  <si>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</si>
  <si>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</si>
  <si>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</si>
  <si>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</si>
  <si>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</si>
  <si>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</si>
  <si>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</si>
  <si>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</si>
  <si>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</si>
  <si>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</si>
  <si>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</si>
  <si>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</si>
  <si>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</si>
  <si>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</si>
  <si>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</si>
  <si>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</si>
  <si>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</si>
  <si>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</si>
  <si>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</si>
  <si>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</si>
  <si>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</si>
  <si>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</si>
  <si>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</si>
  <si>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</si>
  <si>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</si>
  <si>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</si>
  <si>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</si>
  <si>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</si>
  <si>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</si>
  <si>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</si>
  <si>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</si>
  <si>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</si>
  <si>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</si>
  <si>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</si>
  <si>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</si>
  <si>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</si>
  <si>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</si>
  <si>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</si>
  <si>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</si>
  <si>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</si>
  <si>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</si>
  <si>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</si>
  <si>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</si>
  <si>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</si>
  <si>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</si>
  <si>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</si>
  <si>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</si>
  <si>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</si>
  <si>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</si>
  <si>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</si>
  <si>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</si>
  <si>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</si>
  <si>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</si>
  <si>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</si>
  <si>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</si>
  <si>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</si>
  <si>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</si>
  <si>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</si>
  <si>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</si>
  <si>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</si>
  <si>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</si>
  <si>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</si>
  <si>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</si>
  <si>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</si>
  <si>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</si>
  <si>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</si>
  <si>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</si>
  <si>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</si>
  <si>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</si>
  <si>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</si>
  <si>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</si>
  <si>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</si>
  <si>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</si>
  <si>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</si>
  <si>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</si>
  <si>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</si>
  <si>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</si>
  <si>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</si>
  <si>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</si>
  <si>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</si>
  <si>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</si>
  <si>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</si>
  <si>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</si>
  <si>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</si>
  <si>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</si>
  <si>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</si>
  <si>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</si>
  <si>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</si>
  <si>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</si>
  <si>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</si>
  <si>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</si>
  <si>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</si>
  <si>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</si>
  <si>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</si>
  <si>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</si>
  <si>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</si>
  <si>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</si>
  <si>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</si>
  <si>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</si>
  <si>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</si>
  <si>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</si>
  <si>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</si>
  <si>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</si>
  <si>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</si>
  <si>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</si>
  <si>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</si>
  <si>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</si>
  <si>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</si>
  <si>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</si>
  <si>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</si>
  <si>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</si>
  <si>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</si>
  <si>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</si>
  <si>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</si>
  <si>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</si>
  <si>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</si>
  <si>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</si>
  <si>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</si>
  <si>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</si>
  <si>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</si>
  <si>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</si>
  <si>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</si>
  <si>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</si>
  <si>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</si>
  <si>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</si>
  <si>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</si>
  <si>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</si>
  <si>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</si>
  <si>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</si>
  <si>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</si>
  <si>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</si>
  <si>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</si>
  <si>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</si>
  <si>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</si>
  <si>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</si>
  <si>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</si>
  <si>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</si>
  <si>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</si>
  <si>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</si>
  <si>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</si>
  <si>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</si>
  <si>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</si>
  <si>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</si>
  <si>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</si>
  <si>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</si>
  <si>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</si>
  <si>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</si>
  <si>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</si>
  <si>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</si>
  <si>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</si>
  <si>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</si>
  <si>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</si>
  <si>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</si>
  <si>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</si>
  <si>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</si>
  <si>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</si>
  <si>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</si>
  <si>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</si>
  <si>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</si>
  <si>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</si>
  <si>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</si>
  <si>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</si>
  <si>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</si>
  <si>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</si>
  <si>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</si>
  <si>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</si>
  <si>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</si>
  <si>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</si>
  <si>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</si>
  <si>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</si>
  <si>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</si>
  <si>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</si>
  <si>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</si>
  <si>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</si>
  <si>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</si>
  <si>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</si>
  <si>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</si>
  <si>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</si>
  <si>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</si>
  <si>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</si>
  <si>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</si>
  <si>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</si>
  <si>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</si>
  <si>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</si>
  <si>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</si>
  <si>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</si>
  <si>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</si>
  <si>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</si>
  <si>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</si>
  <si>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</si>
  <si>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</si>
  <si>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</si>
  <si>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</si>
  <si>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</si>
  <si>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</si>
  <si>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</si>
  <si>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</si>
  <si>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</si>
  <si>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</si>
  <si>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</si>
  <si>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</si>
  <si>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</si>
  <si>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</si>
  <si>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</si>
  <si>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</si>
  <si>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</si>
  <si>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</si>
  <si>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</si>
  <si>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</si>
  <si>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</si>
  <si>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</si>
  <si>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</si>
  <si>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</si>
  <si>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</si>
  <si>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</si>
  <si>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</si>
  <si>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</si>
  <si>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</si>
  <si>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</si>
  <si>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</si>
  <si>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</si>
  <si>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</si>
  <si>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</si>
  <si>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</si>
  <si>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</si>
  <si>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</si>
  <si>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</si>
  <si>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</si>
  <si>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</si>
  <si>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</si>
  <si>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</si>
  <si>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</si>
  <si>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</si>
  <si>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</si>
  <si>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</si>
  <si>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</si>
  <si>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</si>
  <si>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</si>
  <si>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</si>
  <si>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</si>
  <si>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</si>
  <si>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</si>
  <si>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</si>
  <si>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</si>
  <si>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</si>
  <si>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</si>
  <si>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</si>
  <si>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</si>
  <si>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</si>
  <si>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</si>
  <si>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</si>
  <si>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</si>
  <si>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</si>
  <si>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</si>
  <si>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</si>
  <si>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</si>
  <si>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</si>
  <si>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</si>
  <si>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</si>
  <si>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</si>
  <si>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</si>
  <si>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</si>
  <si>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</si>
  <si>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</si>
  <si>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</si>
  <si>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</si>
  <si>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</si>
  <si>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</si>
  <si>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</si>
  <si>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</si>
  <si>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</si>
  <si>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</si>
  <si>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</si>
  <si>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</si>
  <si>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</si>
  <si>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</si>
  <si>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</si>
  <si>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</si>
  <si>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</si>
  <si>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</si>
  <si>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</si>
  <si>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</si>
  <si>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</si>
  <si>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</si>
  <si>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</si>
  <si>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</si>
  <si>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</si>
  <si>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</si>
  <si>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</si>
  <si>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</si>
  <si>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</si>
  <si>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</si>
  <si>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</si>
  <si>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</si>
  <si>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</si>
  <si>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</si>
  <si>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</si>
  <si>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</si>
  <si>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</si>
  <si>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</si>
  <si>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</si>
  <si>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</si>
  <si>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</si>
  <si>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</si>
  <si>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</si>
  <si>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</si>
  <si>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</si>
  <si>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</si>
  <si>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</si>
  <si>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</si>
  <si>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</si>
  <si>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</si>
  <si>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</si>
  <si>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</si>
  <si>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</si>
  <si>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</si>
  <si>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</si>
  <si>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</si>
  <si>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</si>
  <si>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</si>
  <si>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</si>
  <si>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</si>
  <si>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</si>
  <si>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</si>
  <si>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</si>
  <si>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</si>
  <si>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</si>
  <si>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</si>
  <si>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</si>
  <si>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</si>
  <si>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</si>
  <si>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</si>
  <si>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</si>
  <si>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</si>
  <si>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</si>
  <si>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</si>
  <si>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</si>
  <si>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</si>
  <si>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</si>
  <si>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</si>
  <si>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</si>
  <si>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</si>
  <si>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</si>
  <si>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</si>
  <si>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</si>
  <si>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</si>
  <si>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</si>
  <si>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</si>
  <si>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</si>
  <si>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</si>
  <si>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</si>
  <si>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</si>
  <si>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</si>
  <si>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</si>
  <si>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</si>
  <si>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</si>
  <si>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</si>
  <si>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</si>
  <si>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</si>
  <si>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</si>
  <si>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</si>
  <si>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</si>
  <si>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</si>
  <si>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</si>
  <si>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</si>
  <si>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</si>
  <si>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</si>
  <si>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</si>
  <si>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</si>
  <si>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</si>
  <si>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</si>
  <si>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</si>
  <si>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</si>
  <si>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</si>
  <si>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</si>
  <si>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</si>
  <si>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</si>
  <si>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</si>
  <si>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</si>
  <si>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</si>
  <si>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</si>
  <si>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</si>
  <si>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</si>
  <si>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</si>
  <si>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</si>
  <si>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</si>
  <si>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</si>
  <si>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</si>
  <si>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</si>
  <si>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</si>
  <si>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</si>
  <si>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</si>
  <si>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</si>
  <si>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</si>
  <si>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</si>
  <si>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</si>
  <si>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</si>
  <si>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</si>
  <si>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</si>
  <si>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</si>
  <si>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</si>
  <si>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</si>
  <si>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</si>
  <si>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</si>
  <si>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</si>
  <si>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</si>
  <si>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</si>
  <si>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</si>
  <si>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</si>
  <si>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</si>
  <si>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</si>
  <si>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</si>
  <si>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</si>
  <si>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</si>
  <si>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</si>
  <si>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</si>
  <si>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</si>
  <si>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</si>
  <si>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</si>
  <si>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</si>
  <si>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</si>
  <si>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</si>
  <si>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</si>
  <si>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</si>
  <si>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</si>
  <si>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</si>
  <si>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</si>
  <si>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</si>
  <si>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</si>
  <si>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</si>
  <si>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</si>
  <si>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</si>
  <si>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</si>
  <si>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</si>
  <si>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</si>
  <si>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</si>
  <si>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</si>
  <si>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</si>
  <si>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</si>
  <si>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</si>
  <si>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</si>
  <si>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</si>
  <si>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</si>
  <si>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</si>
  <si>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</si>
  <si>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</si>
  <si>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</si>
  <si>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</si>
  <si>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</si>
  <si>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</si>
  <si>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</si>
  <si>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</si>
  <si>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</si>
  <si>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</si>
  <si>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</si>
  <si>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</si>
  <si>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</si>
  <si>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</si>
  <si>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</si>
  <si>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</si>
  <si>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</si>
  <si>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</si>
  <si>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</si>
  <si>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</si>
  <si>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</si>
  <si>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</si>
  <si>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</si>
  <si>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</si>
  <si>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</si>
  <si>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</si>
  <si>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</si>
  <si>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</si>
  <si>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</si>
  <si>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</si>
  <si>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</si>
  <si>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</si>
  <si>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</si>
  <si>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</si>
  <si>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</si>
  <si>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</si>
  <si>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</si>
  <si>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</si>
  <si>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</si>
  <si>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</si>
  <si>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</si>
  <si>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</si>
  <si>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</si>
  <si>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</si>
  <si>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</si>
  <si>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</si>
  <si>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</si>
  <si>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</si>
  <si>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</si>
  <si>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</si>
  <si>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</si>
  <si>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</si>
  <si>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</si>
  <si>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</si>
  <si>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</si>
  <si>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</si>
  <si>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</si>
  <si>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</si>
  <si>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</si>
  <si>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</si>
  <si>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</si>
  <si>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</si>
  <si>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</si>
  <si>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</si>
  <si>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</si>
  <si>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</si>
  <si>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</si>
  <si>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</si>
  <si>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</si>
  <si>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</si>
  <si>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</si>
  <si>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</si>
  <si>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</si>
  <si>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</si>
  <si>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</si>
  <si>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</si>
  <si>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</si>
  <si>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</si>
  <si>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</si>
  <si>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</si>
  <si>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</si>
  <si>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</si>
  <si>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</si>
  <si>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</si>
  <si>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</si>
  <si>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</si>
  <si>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</si>
  <si>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</si>
  <si>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</si>
  <si>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</si>
  <si>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</si>
  <si>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</si>
  <si>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</si>
  <si>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</si>
  <si>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</si>
  <si>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</si>
  <si>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</si>
  <si>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</si>
  <si>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</si>
  <si>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</si>
  <si>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</si>
  <si>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</si>
  <si>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</si>
  <si>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</si>
  <si>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</si>
  <si>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</si>
  <si>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</si>
  <si>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</si>
  <si>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</si>
  <si>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</si>
  <si>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</si>
  <si>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</si>
  <si>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</si>
  <si>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</si>
  <si>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</si>
  <si>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</si>
  <si>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</si>
  <si>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</si>
  <si>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</si>
  <si>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</si>
  <si>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</si>
  <si>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</si>
  <si>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</si>
  <si>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</si>
  <si>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</si>
  <si>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</si>
  <si>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</si>
  <si>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</si>
  <si>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</si>
  <si>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</si>
  <si>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</si>
  <si>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</si>
  <si>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</si>
  <si>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</si>
  <si>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</si>
  <si>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</si>
  <si>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</si>
  <si>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</si>
  <si>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</si>
  <si>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</si>
  <si>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</si>
  <si>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</si>
  <si>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</si>
  <si>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</si>
  <si>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</si>
  <si>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</si>
  <si>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</si>
  <si>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</si>
  <si>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</si>
  <si>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</si>
  <si>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</si>
  <si>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</si>
  <si>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</si>
  <si>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</si>
  <si>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</si>
  <si>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</si>
  <si>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</si>
  <si>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</si>
  <si>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</si>
  <si>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</si>
  <si>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</si>
  <si>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</si>
  <si>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</si>
  <si>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</si>
  <si>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</si>
  <si>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</si>
  <si>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</si>
  <si>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</si>
  <si>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</si>
  <si>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</si>
  <si>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</si>
  <si>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</si>
  <si>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</si>
  <si>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</si>
  <si>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</si>
  <si>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</si>
  <si>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</si>
  <si>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</si>
  <si>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</si>
  <si>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</si>
  <si>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</si>
  <si>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</si>
  <si>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</si>
  <si>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</si>
  <si>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</si>
  <si>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</si>
  <si>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</si>
  <si>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</si>
  <si>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</si>
  <si>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</si>
  <si>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</si>
  <si>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</si>
  <si>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</si>
  <si>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</si>
  <si>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</si>
  <si>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</si>
  <si>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</si>
  <si>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</si>
  <si>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</si>
  <si>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</si>
  <si>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</si>
  <si>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</si>
  <si>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</si>
  <si>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Brookline</t>
  </si>
  <si>
    <t>8/12</t>
  </si>
  <si>
    <t>8/22</t>
  </si>
  <si>
    <t>8/99</t>
  </si>
  <si>
    <t>8/19</t>
  </si>
  <si>
    <t>LGC Contribution Refund $72,180.51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</si>
</sst>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71</v>
      </c>
      <c r="C2" s="21">
        <v>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403814.43</v>
      </c>
      <c r="G9" s="18">
        <v>13557.98</v>
      </c>
      <c r="H9" s="18"/>
      <c r="I9" s="18">
        <v>8575.5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297795.8</v>
      </c>
      <c r="G12" s="18">
        <f>28424.61-2052.64</f>
        <v>26371.97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1526.15-184.25</f>
        <v>1341.9</v>
      </c>
      <c r="G13" s="18">
        <v>6175.08</v>
      </c>
      <c r="H13" s="18">
        <v>82809.45</v>
      </c>
      <c r="I13" s="18"/>
      <c r="J13" s="67">
        <f>SUM(I442)</f>
        <v>85030.91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4647.26</v>
      </c>
      <c r="G14" s="18">
        <v>80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6022.35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7593.63</v>
      </c>
      <c r="G17" s="18"/>
      <c r="H17" s="18">
        <v>1730.67</v>
      </c>
      <c r="I17" s="18"/>
      <c r="J17" s="67">
        <f>SUM(I444)</f>
        <v>500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-2352.06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712840.96</v>
      </c>
      <c r="G19" s="41">
        <f>SUM(G9:G18)</f>
        <v>52207.38</v>
      </c>
      <c r="H19" s="41">
        <f>SUM(H9:H18)</f>
        <v>84540.12</v>
      </c>
      <c r="I19" s="41">
        <f>SUM(I9:I18)</f>
        <v>8575.5</v>
      </c>
      <c r="J19" s="41">
        <f>SUM(J9:J18)</f>
        <v>85530.91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258776.64</v>
      </c>
      <c r="G22" s="18"/>
      <c r="H22" s="18">
        <v>81733.48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2581.83-1453</f>
        <v>1128.83</v>
      </c>
      <c r="G23" s="18">
        <v>1121.9100000000001</v>
      </c>
      <c r="H23" s="18">
        <v>250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36085.42</v>
      </c>
      <c r="G24" s="18">
        <v>1168.17</v>
      </c>
      <c r="H24" s="18">
        <v>2556.64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32032.59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3601.19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432</v>
      </c>
      <c r="G30" s="18">
        <v>8184.14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332056.67000000004</v>
      </c>
      <c r="G32" s="41">
        <f>SUM(G22:G31)</f>
        <v>10474.220000000001</v>
      </c>
      <c r="H32" s="41">
        <f>SUM(H22:H31)</f>
        <v>84540.12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6022.35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35710.81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8575.5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85530.91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23033.360000000001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346482.18-184.25+1453</f>
        <v>347750.93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380784.29</v>
      </c>
      <c r="G51" s="41">
        <f>SUM(G35:G50)</f>
        <v>41733.159999999996</v>
      </c>
      <c r="H51" s="41">
        <f>SUM(H35:H50)</f>
        <v>0</v>
      </c>
      <c r="I51" s="41">
        <f>SUM(I35:I50)</f>
        <v>8575.5</v>
      </c>
      <c r="J51" s="41">
        <f>SUM(J35:J50)</f>
        <v>85530.91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712840.96</v>
      </c>
      <c r="G52" s="41">
        <f>G51+G32</f>
        <v>52207.38</v>
      </c>
      <c r="H52" s="41">
        <f>H51+H32</f>
        <v>84540.12</v>
      </c>
      <c r="I52" s="41">
        <f>I51+I32</f>
        <v>8575.5</v>
      </c>
      <c r="J52" s="41">
        <f>J51+J32</f>
        <v>85530.91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5667161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5667161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140028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140028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1688.88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115305.38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1240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16955.78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72180.509999999995</v>
      </c>
      <c r="G110" s="18">
        <v>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92065.17</v>
      </c>
      <c r="G111" s="41">
        <f>SUM(G96:G110)</f>
        <v>115305.38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5899254.1699999999</v>
      </c>
      <c r="G112" s="41">
        <f>G60+G111</f>
        <v>115305.38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1933567.11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598574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2532141.1100000003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67503.759999999995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211734.91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1881.6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279238.67</v>
      </c>
      <c r="G136" s="41">
        <f>SUM(G123:G135)</f>
        <v>1881.6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2811379.7800000003</v>
      </c>
      <c r="G140" s="41">
        <f>G121+SUM(G136:G137)</f>
        <v>1881.6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9640.67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9640.67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28910.89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30625.73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32621.94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100811.81</v>
      </c>
      <c r="G159" s="24" t="s">
        <v>289</v>
      </c>
      <c r="H159" s="18">
        <v>71395.360000000001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100811.81</v>
      </c>
      <c r="G162" s="41">
        <f>SUM(G150:G161)</f>
        <v>32621.94</v>
      </c>
      <c r="H162" s="41">
        <f>SUM(H150:H161)</f>
        <v>130931.98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100811.81</v>
      </c>
      <c r="G169" s="41">
        <f>G147+G162+SUM(G163:G168)</f>
        <v>42262.61</v>
      </c>
      <c r="H169" s="41">
        <f>H147+H162+SUM(H163:H168)</f>
        <v>130931.98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8811445.7599999998</v>
      </c>
      <c r="G193" s="47">
        <f>G112+G140+G169+G192</f>
        <v>159449.59000000003</v>
      </c>
      <c r="H193" s="47">
        <f>H112+H140+H169+H192</f>
        <v>130931.98</v>
      </c>
      <c r="I193" s="47">
        <f>I112+I140+I169+I192</f>
        <v>0</v>
      </c>
      <c r="J193" s="47">
        <f>J112+J140+J192</f>
        <v>10000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2278177.5699999998</v>
      </c>
      <c r="G197" s="18">
        <v>935632.69</v>
      </c>
      <c r="H197" s="18">
        <f>41.49+0+807.29</f>
        <v>848.78</v>
      </c>
      <c r="I197" s="18">
        <v>74017.83</v>
      </c>
      <c r="J197" s="18">
        <v>2119.9299999999998</v>
      </c>
      <c r="K197" s="18">
        <v>2809.56</v>
      </c>
      <c r="L197" s="19">
        <f>SUM(F197:K197)</f>
        <v>3293606.36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907119.49</v>
      </c>
      <c r="G198" s="18">
        <v>372548.07</v>
      </c>
      <c r="H198" s="18">
        <f>494+0+320845.89</f>
        <v>321339.89</v>
      </c>
      <c r="I198" s="18">
        <v>44141.65</v>
      </c>
      <c r="J198" s="18">
        <v>5931.6</v>
      </c>
      <c r="K198" s="18">
        <f>0</f>
        <v>0</v>
      </c>
      <c r="L198" s="19">
        <f>SUM(F198:K198)</f>
        <v>1651080.7000000002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554435.76</v>
      </c>
      <c r="G202" s="18">
        <v>227703.16</v>
      </c>
      <c r="H202" s="18">
        <f>69189.07+0+2345.78</f>
        <v>71534.850000000006</v>
      </c>
      <c r="I202" s="18">
        <v>12715.46</v>
      </c>
      <c r="J202" s="18">
        <v>0</v>
      </c>
      <c r="K202" s="18">
        <v>0</v>
      </c>
      <c r="L202" s="19">
        <f t="shared" ref="L202:L208" si="0">SUM(F202:K202)</f>
        <v>866389.23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108309</v>
      </c>
      <c r="G203" s="18">
        <f>159.99+44481.8</f>
        <v>44641.79</v>
      </c>
      <c r="H203" s="18">
        <f>0+1285.78+0</f>
        <v>1285.78</v>
      </c>
      <c r="I203" s="18">
        <f>3782.22+724.35</f>
        <v>4506.57</v>
      </c>
      <c r="J203" s="18">
        <v>60656.31</v>
      </c>
      <c r="K203" s="18">
        <v>0</v>
      </c>
      <c r="L203" s="19">
        <f t="shared" si="0"/>
        <v>219399.45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0</v>
      </c>
      <c r="G204" s="18">
        <v>0</v>
      </c>
      <c r="H204" s="18">
        <f>285254.63+0+345.69-1453</f>
        <v>284147.32</v>
      </c>
      <c r="I204" s="18">
        <v>4995.7299999999996</v>
      </c>
      <c r="J204" s="18">
        <v>0</v>
      </c>
      <c r="K204" s="18">
        <f>700+0</f>
        <v>700</v>
      </c>
      <c r="L204" s="19">
        <f t="shared" si="0"/>
        <v>289843.05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399862.13</v>
      </c>
      <c r="G205" s="18">
        <v>164220.76999999999</v>
      </c>
      <c r="H205" s="18">
        <f>5500+26340.6+22990.96</f>
        <v>54831.56</v>
      </c>
      <c r="I205" s="18">
        <v>39263.79</v>
      </c>
      <c r="J205" s="18">
        <v>1482.59</v>
      </c>
      <c r="K205" s="18">
        <f>1904+0</f>
        <v>1904</v>
      </c>
      <c r="L205" s="19">
        <f t="shared" si="0"/>
        <v>661564.84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238251.79</v>
      </c>
      <c r="G207" s="18">
        <v>97848.46</v>
      </c>
      <c r="H207" s="18">
        <f>0+150822.27+20749.75</f>
        <v>171572.02</v>
      </c>
      <c r="I207" s="18">
        <v>184498.78</v>
      </c>
      <c r="J207" s="18">
        <v>3815.49</v>
      </c>
      <c r="K207" s="18">
        <v>0</v>
      </c>
      <c r="L207" s="19">
        <f t="shared" si="0"/>
        <v>695986.54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295801.32</v>
      </c>
      <c r="I208" s="18">
        <v>38566.36</v>
      </c>
      <c r="J208" s="18">
        <v>0</v>
      </c>
      <c r="K208" s="18">
        <v>0</v>
      </c>
      <c r="L208" s="19">
        <f t="shared" si="0"/>
        <v>334367.68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4486155.7399999993</v>
      </c>
      <c r="G211" s="41">
        <f t="shared" si="1"/>
        <v>1842594.94</v>
      </c>
      <c r="H211" s="41">
        <f t="shared" si="1"/>
        <v>1201361.5200000003</v>
      </c>
      <c r="I211" s="41">
        <f t="shared" si="1"/>
        <v>402706.17000000004</v>
      </c>
      <c r="J211" s="41">
        <f t="shared" si="1"/>
        <v>74005.919999999998</v>
      </c>
      <c r="K211" s="41">
        <f t="shared" si="1"/>
        <v>5413.5599999999995</v>
      </c>
      <c r="L211" s="41">
        <f t="shared" si="1"/>
        <v>8012237.8500000006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4486155.7399999993</v>
      </c>
      <c r="G257" s="41">
        <f t="shared" si="8"/>
        <v>1842594.94</v>
      </c>
      <c r="H257" s="41">
        <f t="shared" si="8"/>
        <v>1201361.5200000003</v>
      </c>
      <c r="I257" s="41">
        <f t="shared" si="8"/>
        <v>402706.17000000004</v>
      </c>
      <c r="J257" s="41">
        <f t="shared" si="8"/>
        <v>74005.919999999998</v>
      </c>
      <c r="K257" s="41">
        <f t="shared" si="8"/>
        <v>5413.5599999999995</v>
      </c>
      <c r="L257" s="41">
        <f t="shared" si="8"/>
        <v>8012237.8500000006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236449.11</v>
      </c>
      <c r="L260" s="19">
        <f>SUM(F260:K260)</f>
        <v>236449.11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247732.14</v>
      </c>
      <c r="L261" s="19">
        <f>SUM(F261:K261)</f>
        <v>247732.14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494181.25</v>
      </c>
      <c r="L270" s="41">
        <f t="shared" si="9"/>
        <v>494181.25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4486155.7399999993</v>
      </c>
      <c r="G271" s="42">
        <f t="shared" si="11"/>
        <v>1842594.94</v>
      </c>
      <c r="H271" s="42">
        <f t="shared" si="11"/>
        <v>1201361.5200000003</v>
      </c>
      <c r="I271" s="42">
        <f t="shared" si="11"/>
        <v>402706.17000000004</v>
      </c>
      <c r="J271" s="42">
        <f t="shared" si="11"/>
        <v>74005.919999999998</v>
      </c>
      <c r="K271" s="42">
        <f t="shared" si="11"/>
        <v>499594.81</v>
      </c>
      <c r="L271" s="42">
        <f t="shared" si="11"/>
        <v>8506419.1000000015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20312.79</v>
      </c>
      <c r="G276" s="18">
        <v>1514.12</v>
      </c>
      <c r="H276" s="18">
        <v>0</v>
      </c>
      <c r="I276" s="18">
        <v>5332.46</v>
      </c>
      <c r="J276" s="18">
        <v>2747</v>
      </c>
      <c r="K276" s="18">
        <v>0</v>
      </c>
      <c r="L276" s="19">
        <f>SUM(F276:K276)</f>
        <v>29906.37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66732.73</v>
      </c>
      <c r="G277" s="18">
        <v>4662.63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71395.360000000001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633.53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633.53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f>22437.8</f>
        <v>22437.8</v>
      </c>
      <c r="H282" s="18">
        <v>5933.57</v>
      </c>
      <c r="I282" s="18">
        <v>325.35000000000002</v>
      </c>
      <c r="J282" s="18">
        <v>0</v>
      </c>
      <c r="K282" s="18">
        <v>0</v>
      </c>
      <c r="L282" s="19">
        <f t="shared" si="12"/>
        <v>28696.719999999998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300</v>
      </c>
      <c r="I287" s="18">
        <v>0</v>
      </c>
      <c r="J287" s="18">
        <v>0</v>
      </c>
      <c r="K287" s="18">
        <v>0</v>
      </c>
      <c r="L287" s="19">
        <f t="shared" si="12"/>
        <v>300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87045.51999999999</v>
      </c>
      <c r="G290" s="42">
        <f t="shared" si="13"/>
        <v>28614.55</v>
      </c>
      <c r="H290" s="42">
        <f t="shared" si="13"/>
        <v>6867.0999999999995</v>
      </c>
      <c r="I290" s="42">
        <f t="shared" si="13"/>
        <v>5657.81</v>
      </c>
      <c r="J290" s="42">
        <f t="shared" si="13"/>
        <v>2747</v>
      </c>
      <c r="K290" s="42">
        <f t="shared" si="13"/>
        <v>0</v>
      </c>
      <c r="L290" s="41">
        <f t="shared" si="13"/>
        <v>130931.98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87045.51999999999</v>
      </c>
      <c r="G338" s="41">
        <f t="shared" si="20"/>
        <v>28614.55</v>
      </c>
      <c r="H338" s="41">
        <f t="shared" si="20"/>
        <v>6867.0999999999995</v>
      </c>
      <c r="I338" s="41">
        <f t="shared" si="20"/>
        <v>5657.81</v>
      </c>
      <c r="J338" s="41">
        <f t="shared" si="20"/>
        <v>2747</v>
      </c>
      <c r="K338" s="41">
        <f t="shared" si="20"/>
        <v>0</v>
      </c>
      <c r="L338" s="41">
        <f t="shared" si="20"/>
        <v>130931.98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87045.51999999999</v>
      </c>
      <c r="G352" s="41">
        <f>G338</f>
        <v>28614.55</v>
      </c>
      <c r="H352" s="41">
        <f>H338</f>
        <v>6867.0999999999995</v>
      </c>
      <c r="I352" s="41">
        <f>I338</f>
        <v>5657.81</v>
      </c>
      <c r="J352" s="41">
        <f>J338</f>
        <v>2747</v>
      </c>
      <c r="K352" s="47">
        <f>K338+K351</f>
        <v>0</v>
      </c>
      <c r="L352" s="41">
        <f>L338+L351</f>
        <v>130931.98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61556.93</v>
      </c>
      <c r="G358" s="18">
        <v>0</v>
      </c>
      <c r="H358" s="18">
        <v>5116.95</v>
      </c>
      <c r="I358" s="18">
        <v>81321.279999999999</v>
      </c>
      <c r="J358" s="18">
        <v>3379.44</v>
      </c>
      <c r="K358" s="18">
        <v>0</v>
      </c>
      <c r="L358" s="13">
        <f>SUM(F358:K358)</f>
        <v>151374.6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61556.93</v>
      </c>
      <c r="G362" s="47">
        <f t="shared" si="22"/>
        <v>0</v>
      </c>
      <c r="H362" s="47">
        <f t="shared" si="22"/>
        <v>5116.95</v>
      </c>
      <c r="I362" s="47">
        <f t="shared" si="22"/>
        <v>81321.279999999999</v>
      </c>
      <c r="J362" s="47">
        <f t="shared" si="22"/>
        <v>3379.44</v>
      </c>
      <c r="K362" s="47">
        <f t="shared" si="22"/>
        <v>0</v>
      </c>
      <c r="L362" s="47">
        <f t="shared" si="22"/>
        <v>151374.6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6051.4</v>
      </c>
      <c r="G367" s="18"/>
      <c r="H367" s="18"/>
      <c r="I367" s="56">
        <f>SUM(F367:H367)</f>
        <v>6051.4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75269.88</v>
      </c>
      <c r="G368" s="63"/>
      <c r="H368" s="63"/>
      <c r="I368" s="56">
        <f>SUM(F368:H368)</f>
        <v>75269.88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81321.279999999999</v>
      </c>
      <c r="G369" s="47">
        <f>SUM(G367:G368)</f>
        <v>0</v>
      </c>
      <c r="H369" s="47">
        <f>SUM(H367:H368)</f>
        <v>0</v>
      </c>
      <c r="I369" s="47">
        <f>SUM(I367:I368)</f>
        <v>81321.279999999999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/>
      <c r="I396" s="18"/>
      <c r="J396" s="24" t="s">
        <v>289</v>
      </c>
      <c r="K396" s="24" t="s">
        <v>289</v>
      </c>
      <c r="L396" s="56">
        <f t="shared" si="26"/>
        <v>10000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85030.91</v>
      </c>
      <c r="H442" s="18"/>
      <c r="I442" s="56">
        <f t="shared" si="33"/>
        <v>85030.91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500</v>
      </c>
      <c r="H444" s="18"/>
      <c r="I444" s="56">
        <f t="shared" si="33"/>
        <v>500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85530.91</v>
      </c>
      <c r="H446" s="13">
        <f>SUM(H439:H445)</f>
        <v>0</v>
      </c>
      <c r="I446" s="13">
        <f>SUM(I439:I445)</f>
        <v>85530.91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85530.91</v>
      </c>
      <c r="H459" s="18"/>
      <c r="I459" s="56">
        <f t="shared" si="34"/>
        <v>85530.91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85530.91</v>
      </c>
      <c r="H460" s="83">
        <f>SUM(H454:H459)</f>
        <v>0</v>
      </c>
      <c r="I460" s="83">
        <f>SUM(I454:I459)</f>
        <v>85530.91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85530.91</v>
      </c>
      <c r="H461" s="42">
        <f>H452+H460</f>
        <v>0</v>
      </c>
      <c r="I461" s="42">
        <f>I452+I460</f>
        <v>85530.91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75757.63</v>
      </c>
      <c r="G465" s="18">
        <f>35710.81-2052.64</f>
        <v>33658.17</v>
      </c>
      <c r="H465" s="18"/>
      <c r="I465" s="18">
        <v>8575.5</v>
      </c>
      <c r="J465" s="18">
        <v>75530.91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8811630.01-184.25</f>
        <v>8811445.7599999998</v>
      </c>
      <c r="G468" s="18">
        <v>159449.59</v>
      </c>
      <c r="H468" s="18">
        <v>130931.98</v>
      </c>
      <c r="I468" s="18"/>
      <c r="J468" s="18">
        <v>10000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8811445.7599999998</v>
      </c>
      <c r="G470" s="53">
        <f>SUM(G468:G469)</f>
        <v>159449.59</v>
      </c>
      <c r="H470" s="53">
        <f>SUM(H468:H469)</f>
        <v>130931.98</v>
      </c>
      <c r="I470" s="53">
        <f>SUM(I468:I469)</f>
        <v>0</v>
      </c>
      <c r="J470" s="53">
        <f>SUM(J468:J469)</f>
        <v>10000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8507872.1-1453</f>
        <v>8506419.0999999996</v>
      </c>
      <c r="G472" s="18">
        <v>151374.6</v>
      </c>
      <c r="H472" s="18">
        <v>130931.98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8506419.0999999996</v>
      </c>
      <c r="G474" s="53">
        <f>SUM(G472:G473)</f>
        <v>151374.6</v>
      </c>
      <c r="H474" s="53">
        <f>SUM(H472:H473)</f>
        <v>130931.98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380784.29000000097</v>
      </c>
      <c r="G476" s="53">
        <f>(G465+G470)- G474</f>
        <v>41733.160000000003</v>
      </c>
      <c r="H476" s="53">
        <f>(H465+H470)- H474</f>
        <v>0</v>
      </c>
      <c r="I476" s="53">
        <f>(I465+I470)- I474</f>
        <v>8575.5</v>
      </c>
      <c r="J476" s="53">
        <f>(J465+J470)- J474</f>
        <v>85530.91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408500</v>
      </c>
      <c r="G493" s="18">
        <v>5367912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2.3199999999999998</v>
      </c>
      <c r="G494" s="18">
        <v>5.2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345000</v>
      </c>
      <c r="G495" s="18">
        <v>1022859.05</v>
      </c>
      <c r="H495" s="18"/>
      <c r="I495" s="18"/>
      <c r="J495" s="18"/>
      <c r="K495" s="53">
        <f>SUM(F495:J495)</f>
        <v>1367859.05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40000</v>
      </c>
      <c r="G497" s="18">
        <v>182591.51</v>
      </c>
      <c r="H497" s="18"/>
      <c r="I497" s="18"/>
      <c r="J497" s="18"/>
      <c r="K497" s="53">
        <f t="shared" si="35"/>
        <v>222591.51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305000</v>
      </c>
      <c r="G498" s="204">
        <f>G495-G497</f>
        <v>840267.54</v>
      </c>
      <c r="H498" s="204"/>
      <c r="I498" s="204"/>
      <c r="J498" s="204"/>
      <c r="K498" s="205">
        <f t="shared" si="35"/>
        <v>1145267.54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42250</v>
      </c>
      <c r="G499" s="18">
        <v>1322063.51</v>
      </c>
      <c r="H499" s="18"/>
      <c r="I499" s="18"/>
      <c r="J499" s="18"/>
      <c r="K499" s="53">
        <f t="shared" si="35"/>
        <v>1364313.51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347250</v>
      </c>
      <c r="G500" s="42">
        <f>SUM(G498:G499)</f>
        <v>2162331.0499999998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2509581.0499999998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40000</v>
      </c>
      <c r="G501" s="204">
        <v>182591.51</v>
      </c>
      <c r="H501" s="204"/>
      <c r="I501" s="204"/>
      <c r="J501" s="204"/>
      <c r="K501" s="205">
        <f t="shared" si="35"/>
        <v>222591.51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10900-1400</f>
        <v>9500</v>
      </c>
      <c r="G502" s="18">
        <f>246833.49+1400</f>
        <v>248233.49</v>
      </c>
      <c r="H502" s="18"/>
      <c r="I502" s="18"/>
      <c r="J502" s="18"/>
      <c r="K502" s="53">
        <f t="shared" si="35"/>
        <v>257733.49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49500</v>
      </c>
      <c r="G503" s="42">
        <f>SUM(G501:G502)</f>
        <v>430825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480325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890566.42</v>
      </c>
      <c r="G521" s="18">
        <v>346229.99</v>
      </c>
      <c r="H521" s="18">
        <v>292839.83</v>
      </c>
      <c r="I521" s="18">
        <v>44141.65</v>
      </c>
      <c r="J521" s="18">
        <v>5931.6</v>
      </c>
      <c r="K521" s="18"/>
      <c r="L521" s="88">
        <f>SUM(F521:K521)</f>
        <v>1579709.4900000002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890566.42</v>
      </c>
      <c r="G524" s="108">
        <f t="shared" ref="G524:L524" si="36">SUM(G521:G523)</f>
        <v>346229.99</v>
      </c>
      <c r="H524" s="108">
        <f t="shared" si="36"/>
        <v>292839.83</v>
      </c>
      <c r="I524" s="108">
        <f t="shared" si="36"/>
        <v>44141.65</v>
      </c>
      <c r="J524" s="108">
        <f t="shared" si="36"/>
        <v>5931.6</v>
      </c>
      <c r="K524" s="108">
        <f t="shared" si="36"/>
        <v>0</v>
      </c>
      <c r="L524" s="89">
        <f t="shared" si="36"/>
        <v>1579709.4900000002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107251.24</v>
      </c>
      <c r="G526" s="18">
        <v>134357.91</v>
      </c>
      <c r="H526" s="18">
        <v>69189.070000000007</v>
      </c>
      <c r="I526" s="18">
        <v>6277.45</v>
      </c>
      <c r="J526" s="18"/>
      <c r="K526" s="18"/>
      <c r="L526" s="88">
        <f>SUM(F526:K526)</f>
        <v>317075.67000000004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107251.24</v>
      </c>
      <c r="G529" s="89">
        <f t="shared" ref="G529:L529" si="37">SUM(G526:G528)</f>
        <v>134357.91</v>
      </c>
      <c r="H529" s="89">
        <f t="shared" si="37"/>
        <v>69189.070000000007</v>
      </c>
      <c r="I529" s="89">
        <f t="shared" si="37"/>
        <v>6277.45</v>
      </c>
      <c r="J529" s="89">
        <f t="shared" si="37"/>
        <v>0</v>
      </c>
      <c r="K529" s="89">
        <f t="shared" si="37"/>
        <v>0</v>
      </c>
      <c r="L529" s="89">
        <f t="shared" si="37"/>
        <v>317075.67000000004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83285.8</v>
      </c>
      <c r="G531" s="18">
        <v>36173.29</v>
      </c>
      <c r="H531" s="18"/>
      <c r="I531" s="18"/>
      <c r="J531" s="18"/>
      <c r="K531" s="18"/>
      <c r="L531" s="88">
        <f>SUM(F531:K531)</f>
        <v>119459.09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83285.8</v>
      </c>
      <c r="G534" s="89">
        <f t="shared" ref="G534:L534" si="38">SUM(G531:G533)</f>
        <v>36173.29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119459.09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494</v>
      </c>
      <c r="I536" s="18"/>
      <c r="J536" s="18"/>
      <c r="K536" s="18"/>
      <c r="L536" s="88">
        <f>SUM(F536:K536)</f>
        <v>494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494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79953.81</v>
      </c>
      <c r="I541" s="18">
        <v>10412.92</v>
      </c>
      <c r="J541" s="18"/>
      <c r="K541" s="18"/>
      <c r="L541" s="88">
        <f>SUM(F541:K541)</f>
        <v>90366.73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79953.81</v>
      </c>
      <c r="I544" s="193">
        <f t="shared" si="40"/>
        <v>10412.92</v>
      </c>
      <c r="J544" s="193">
        <f t="shared" si="40"/>
        <v>0</v>
      </c>
      <c r="K544" s="193">
        <f t="shared" si="40"/>
        <v>0</v>
      </c>
      <c r="L544" s="193">
        <f t="shared" si="40"/>
        <v>90366.73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1081103.46</v>
      </c>
      <c r="G545" s="89">
        <f t="shared" ref="G545:L545" si="41">G524+G529+G534+G539+G544</f>
        <v>516761.19</v>
      </c>
      <c r="H545" s="89">
        <f t="shared" si="41"/>
        <v>442476.71</v>
      </c>
      <c r="I545" s="89">
        <f t="shared" si="41"/>
        <v>60832.02</v>
      </c>
      <c r="J545" s="89">
        <f t="shared" si="41"/>
        <v>5931.6</v>
      </c>
      <c r="K545" s="89">
        <f t="shared" si="41"/>
        <v>0</v>
      </c>
      <c r="L545" s="89">
        <f t="shared" si="41"/>
        <v>2107104.9800000004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1579709.4900000002</v>
      </c>
      <c r="G549" s="87">
        <f>L526</f>
        <v>317075.67000000004</v>
      </c>
      <c r="H549" s="87">
        <f>L531</f>
        <v>119459.09</v>
      </c>
      <c r="I549" s="87">
        <f>L536</f>
        <v>494</v>
      </c>
      <c r="J549" s="87">
        <f>L541</f>
        <v>90366.73</v>
      </c>
      <c r="K549" s="87">
        <f>SUM(F549:J549)</f>
        <v>2107104.9800000004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1579709.4900000002</v>
      </c>
      <c r="G552" s="89">
        <f t="shared" si="42"/>
        <v>317075.67000000004</v>
      </c>
      <c r="H552" s="89">
        <f t="shared" si="42"/>
        <v>119459.09</v>
      </c>
      <c r="I552" s="89">
        <f t="shared" si="42"/>
        <v>494</v>
      </c>
      <c r="J552" s="89">
        <f t="shared" si="42"/>
        <v>90366.73</v>
      </c>
      <c r="K552" s="89">
        <f t="shared" si="42"/>
        <v>2107104.9800000004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228670.65</v>
      </c>
      <c r="G582" s="18"/>
      <c r="H582" s="18"/>
      <c r="I582" s="87">
        <f t="shared" si="47"/>
        <v>228670.65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295801.32+38566.36-90366.73</f>
        <v>244000.95</v>
      </c>
      <c r="I591" s="18"/>
      <c r="J591" s="18"/>
      <c r="K591" s="104">
        <f t="shared" ref="K591:K597" si="48">SUM(H591:J591)</f>
        <v>244000.95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90366.73</v>
      </c>
      <c r="I592" s="18"/>
      <c r="J592" s="18"/>
      <c r="K592" s="104">
        <f t="shared" si="48"/>
        <v>90366.73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334367.68</v>
      </c>
      <c r="I598" s="108">
        <f>SUM(I591:I597)</f>
        <v>0</v>
      </c>
      <c r="J598" s="108">
        <f>SUM(J591:J597)</f>
        <v>0</v>
      </c>
      <c r="K598" s="108">
        <f>SUM(K591:K597)</f>
        <v>334367.68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76752.92</v>
      </c>
      <c r="I604" s="18"/>
      <c r="J604" s="18"/>
      <c r="K604" s="104">
        <f>SUM(H604:J604)</f>
        <v>76752.92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76752.92</v>
      </c>
      <c r="I605" s="108">
        <f>SUM(I602:I604)</f>
        <v>0</v>
      </c>
      <c r="J605" s="108">
        <f>SUM(J602:J604)</f>
        <v>0</v>
      </c>
      <c r="K605" s="108">
        <f>SUM(K602:K604)</f>
        <v>76752.92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33007.08</v>
      </c>
      <c r="G611" s="18">
        <v>2525.0500000000002</v>
      </c>
      <c r="H611" s="18"/>
      <c r="I611" s="18">
        <v>760</v>
      </c>
      <c r="J611" s="18"/>
      <c r="K611" s="18"/>
      <c r="L611" s="88">
        <f>SUM(F611:K611)</f>
        <v>36292.130000000005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33007.08</v>
      </c>
      <c r="G614" s="108">
        <f t="shared" si="49"/>
        <v>2525.0500000000002</v>
      </c>
      <c r="H614" s="108">
        <f t="shared" si="49"/>
        <v>0</v>
      </c>
      <c r="I614" s="108">
        <f t="shared" si="49"/>
        <v>760</v>
      </c>
      <c r="J614" s="108">
        <f t="shared" si="49"/>
        <v>0</v>
      </c>
      <c r="K614" s="108">
        <f t="shared" si="49"/>
        <v>0</v>
      </c>
      <c r="L614" s="89">
        <f t="shared" si="49"/>
        <v>36292.130000000005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712840.96</v>
      </c>
      <c r="H617" s="109">
        <f>SUM(F52)</f>
        <v>712840.96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52207.38</v>
      </c>
      <c r="H618" s="109">
        <f>SUM(G52)</f>
        <v>52207.38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84540.12</v>
      </c>
      <c r="H619" s="109">
        <f>SUM(H52)</f>
        <v>84540.12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8575.5</v>
      </c>
      <c r="H620" s="109">
        <f>SUM(I52)</f>
        <v>8575.5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85530.91</v>
      </c>
      <c r="H621" s="109">
        <f>SUM(J52)</f>
        <v>85530.91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380784.29</v>
      </c>
      <c r="H622" s="109">
        <f>F476</f>
        <v>380784.29000000097</v>
      </c>
      <c r="I622" s="121" t="s">
        <v>101</v>
      </c>
      <c r="J622" s="109">
        <f t="shared" ref="J622:J655" si="50">G622-H622</f>
        <v>-9.8953023552894592E-10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41733.159999999996</v>
      </c>
      <c r="H623" s="109">
        <f>G476</f>
        <v>41733.160000000003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8575.5</v>
      </c>
      <c r="H625" s="109">
        <f>I476</f>
        <v>8575.5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85530.91</v>
      </c>
      <c r="H626" s="109">
        <f>J476</f>
        <v>85530.91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8811445.7599999998</v>
      </c>
      <c r="H627" s="104">
        <f>SUM(F468)</f>
        <v>8811445.7599999998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159449.59000000003</v>
      </c>
      <c r="H628" s="104">
        <f>SUM(G468)</f>
        <v>159449.59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130931.98</v>
      </c>
      <c r="H629" s="104">
        <f>SUM(H468)</f>
        <v>130931.98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10000</v>
      </c>
      <c r="H631" s="104">
        <f>SUM(J468)</f>
        <v>10000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8506419.1000000015</v>
      </c>
      <c r="H632" s="104">
        <f>SUM(F472)</f>
        <v>8506419.0999999996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130931.98</v>
      </c>
      <c r="H633" s="104">
        <f>SUM(H472)</f>
        <v>130931.98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81321.279999999999</v>
      </c>
      <c r="H634" s="104">
        <f>I369</f>
        <v>81321.279999999999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151374.6</v>
      </c>
      <c r="H635" s="104">
        <f>SUM(G472)</f>
        <v>151374.6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10000</v>
      </c>
      <c r="H637" s="164">
        <f>SUM(J468)</f>
        <v>10000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85530.91</v>
      </c>
      <c r="H640" s="104">
        <f>SUM(G461)</f>
        <v>85530.91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85530.91</v>
      </c>
      <c r="H642" s="104">
        <f>SUM(I461)</f>
        <v>85530.91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10000</v>
      </c>
      <c r="H646" s="104">
        <f>L408</f>
        <v>10000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334367.68</v>
      </c>
      <c r="H647" s="104">
        <f>L208+L226+L244</f>
        <v>334367.68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76752.92</v>
      </c>
      <c r="H648" s="104">
        <f>(J257+J338)-(J255+J336)</f>
        <v>76752.92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334367.68</v>
      </c>
      <c r="H649" s="104">
        <f>H598</f>
        <v>334367.68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8294544.4300000006</v>
      </c>
      <c r="G660" s="19">
        <f>(L229+L309+L359)</f>
        <v>0</v>
      </c>
      <c r="H660" s="19">
        <f>(L247+L328+L360)</f>
        <v>0</v>
      </c>
      <c r="I660" s="19">
        <f>SUM(F660:H660)</f>
        <v>8294544.4300000006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115305.38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115305.38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334667.68</v>
      </c>
      <c r="G662" s="19">
        <f>(L226+L306)-(J226+J306)</f>
        <v>0</v>
      </c>
      <c r="H662" s="19">
        <f>(L244+L325)-(J244+J325)</f>
        <v>0</v>
      </c>
      <c r="I662" s="19">
        <f>SUM(F662:H662)</f>
        <v>334667.68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341715.7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341715.7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7502855.6700000009</v>
      </c>
      <c r="G664" s="19">
        <f>G660-SUM(G661:G663)</f>
        <v>0</v>
      </c>
      <c r="H664" s="19">
        <f>H660-SUM(H661:H663)</f>
        <v>0</v>
      </c>
      <c r="I664" s="19">
        <f>I660-SUM(I661:I663)</f>
        <v>7502855.6700000009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548.38</v>
      </c>
      <c r="G665" s="248"/>
      <c r="H665" s="248"/>
      <c r="I665" s="19">
        <f>SUM(F665:H665)</f>
        <v>548.38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13681.86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13681.86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13681.86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13681.86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Brookline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2298490.36</v>
      </c>
      <c r="C9" s="229">
        <f>'DOE25'!G197+'DOE25'!G215+'DOE25'!G233+'DOE25'!G276+'DOE25'!G295+'DOE25'!G314</f>
        <v>937146.80999999994</v>
      </c>
    </row>
    <row r="10" spans="1:3" x14ac:dyDescent="0.2">
      <c r="A10" t="s">
        <v>779</v>
      </c>
      <c r="B10" s="240">
        <v>2083294.93</v>
      </c>
      <c r="C10" s="240">
        <f>B10/B13*C9</f>
        <v>849406.73753300984</v>
      </c>
    </row>
    <row r="11" spans="1:3" x14ac:dyDescent="0.2">
      <c r="A11" t="s">
        <v>780</v>
      </c>
      <c r="B11" s="240">
        <v>107864.81</v>
      </c>
      <c r="C11" s="240">
        <f>B11/B13*C9</f>
        <v>43978.936941356631</v>
      </c>
    </row>
    <row r="12" spans="1:3" x14ac:dyDescent="0.2">
      <c r="A12" t="s">
        <v>781</v>
      </c>
      <c r="B12" s="240">
        <v>107330.62</v>
      </c>
      <c r="C12" s="240">
        <f>B12/B13*C9</f>
        <v>43761.13552563353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2298490.36</v>
      </c>
      <c r="C13" s="231">
        <f>SUM(C10:C12)</f>
        <v>937146.81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973852.22</v>
      </c>
      <c r="C18" s="229">
        <f>'DOE25'!G198+'DOE25'!G216+'DOE25'!G234+'DOE25'!G277+'DOE25'!G296+'DOE25'!G315</f>
        <v>377210.7</v>
      </c>
    </row>
    <row r="19" spans="1:3" x14ac:dyDescent="0.2">
      <c r="A19" t="s">
        <v>779</v>
      </c>
      <c r="B19" s="240">
        <v>490068.52</v>
      </c>
      <c r="C19" s="240">
        <f>B19/B22*C18</f>
        <v>189822.52715629071</v>
      </c>
    </row>
    <row r="20" spans="1:3" x14ac:dyDescent="0.2">
      <c r="A20" t="s">
        <v>780</v>
      </c>
      <c r="B20" s="240">
        <v>367490.82</v>
      </c>
      <c r="C20" s="240">
        <f>B20/B22*C18</f>
        <v>142343.43425922876</v>
      </c>
    </row>
    <row r="21" spans="1:3" x14ac:dyDescent="0.2">
      <c r="A21" t="s">
        <v>781</v>
      </c>
      <c r="B21" s="240">
        <v>116292.88</v>
      </c>
      <c r="C21" s="240">
        <f>B21/B22*C18</f>
        <v>45044.738584480503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973852.22000000009</v>
      </c>
      <c r="C22" s="231">
        <f>SUM(C19:C21)</f>
        <v>377210.69999999995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Brookline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4944687.0600000005</v>
      </c>
      <c r="D5" s="20">
        <f>SUM('DOE25'!L197:L200)+SUM('DOE25'!L215:L218)+SUM('DOE25'!L233:L236)-F5-G5</f>
        <v>4933825.9700000007</v>
      </c>
      <c r="E5" s="243"/>
      <c r="F5" s="255">
        <f>SUM('DOE25'!J197:J200)+SUM('DOE25'!J215:J218)+SUM('DOE25'!J233:J236)</f>
        <v>8051.5300000000007</v>
      </c>
      <c r="G5" s="53">
        <f>SUM('DOE25'!K197:K200)+SUM('DOE25'!K215:K218)+SUM('DOE25'!K233:K236)</f>
        <v>2809.56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866389.23</v>
      </c>
      <c r="D6" s="20">
        <f>'DOE25'!L202+'DOE25'!L220+'DOE25'!L238-F6-G6</f>
        <v>866389.23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219399.45</v>
      </c>
      <c r="D7" s="20">
        <f>'DOE25'!L203+'DOE25'!L221+'DOE25'!L239-F7-G7</f>
        <v>158743.14000000001</v>
      </c>
      <c r="E7" s="243"/>
      <c r="F7" s="255">
        <f>'DOE25'!J203+'DOE25'!J221+'DOE25'!J239</f>
        <v>60656.31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172808.11</v>
      </c>
      <c r="D8" s="243"/>
      <c r="E8" s="20">
        <f>'DOE25'!L204+'DOE25'!L222+'DOE25'!L240-F8-G8-D9-D11</f>
        <v>172108.11</v>
      </c>
      <c r="F8" s="255">
        <f>'DOE25'!J204+'DOE25'!J222+'DOE25'!J240</f>
        <v>0</v>
      </c>
      <c r="G8" s="53">
        <f>'DOE25'!K204+'DOE25'!K222+'DOE25'!K240</f>
        <v>700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34663.050000000003</v>
      </c>
      <c r="D9" s="244">
        <v>34663.050000000003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10250</v>
      </c>
      <c r="D10" s="243"/>
      <c r="E10" s="244">
        <v>10250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82371.89</v>
      </c>
      <c r="D11" s="244">
        <v>82371.89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661564.84</v>
      </c>
      <c r="D12" s="20">
        <f>'DOE25'!L205+'DOE25'!L223+'DOE25'!L241-F12-G12</f>
        <v>658178.25</v>
      </c>
      <c r="E12" s="243"/>
      <c r="F12" s="255">
        <f>'DOE25'!J205+'DOE25'!J223+'DOE25'!J241</f>
        <v>1482.59</v>
      </c>
      <c r="G12" s="53">
        <f>'DOE25'!K205+'DOE25'!K223+'DOE25'!K241</f>
        <v>1904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695986.54</v>
      </c>
      <c r="D14" s="20">
        <f>'DOE25'!L207+'DOE25'!L225+'DOE25'!L243-F14-G14</f>
        <v>692171.05</v>
      </c>
      <c r="E14" s="243"/>
      <c r="F14" s="255">
        <f>'DOE25'!J207+'DOE25'!J225+'DOE25'!J243</f>
        <v>3815.49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334367.68</v>
      </c>
      <c r="D15" s="20">
        <f>'DOE25'!L208+'DOE25'!L226+'DOE25'!L244-F15-G15</f>
        <v>334367.68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484181.25</v>
      </c>
      <c r="D25" s="243"/>
      <c r="E25" s="243"/>
      <c r="F25" s="258"/>
      <c r="G25" s="256"/>
      <c r="H25" s="257">
        <f>'DOE25'!L260+'DOE25'!L261+'DOE25'!L341+'DOE25'!L342</f>
        <v>484181.25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145323.20000000001</v>
      </c>
      <c r="D29" s="20">
        <f>'DOE25'!L358+'DOE25'!L359+'DOE25'!L360-'DOE25'!I367-F29-G29</f>
        <v>141943.76</v>
      </c>
      <c r="E29" s="243"/>
      <c r="F29" s="255">
        <f>'DOE25'!J358+'DOE25'!J359+'DOE25'!J360</f>
        <v>3379.44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130931.98</v>
      </c>
      <c r="D31" s="20">
        <f>'DOE25'!L290+'DOE25'!L309+'DOE25'!L328+'DOE25'!L333+'DOE25'!L334+'DOE25'!L335-F31-G31</f>
        <v>128184.98</v>
      </c>
      <c r="E31" s="243"/>
      <c r="F31" s="255">
        <f>'DOE25'!J290+'DOE25'!J309+'DOE25'!J328+'DOE25'!J333+'DOE25'!J334+'DOE25'!J335</f>
        <v>2747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8030839</v>
      </c>
      <c r="E33" s="246">
        <f>SUM(E5:E31)</f>
        <v>182358.11</v>
      </c>
      <c r="F33" s="246">
        <f>SUM(F5:F31)</f>
        <v>80132.36</v>
      </c>
      <c r="G33" s="246">
        <f>SUM(G5:G31)</f>
        <v>5413.5599999999995</v>
      </c>
      <c r="H33" s="246">
        <f>SUM(H5:H31)</f>
        <v>484181.25</v>
      </c>
    </row>
    <row r="35" spans="2:8" ht="12" thickBot="1" x14ac:dyDescent="0.25">
      <c r="B35" s="253" t="s">
        <v>847</v>
      </c>
      <c r="D35" s="254">
        <f>E33</f>
        <v>182358.11</v>
      </c>
      <c r="E35" s="249"/>
    </row>
    <row r="36" spans="2:8" ht="12" thickTop="1" x14ac:dyDescent="0.2">
      <c r="B36" t="s">
        <v>815</v>
      </c>
      <c r="D36" s="20">
        <f>D33</f>
        <v>8030839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4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403814.43</v>
      </c>
      <c r="D8" s="95">
        <f>'DOE25'!G9</f>
        <v>13557.98</v>
      </c>
      <c r="E8" s="95">
        <f>'DOE25'!H9</f>
        <v>0</v>
      </c>
      <c r="F8" s="95">
        <f>'DOE25'!I9</f>
        <v>8575.5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297795.8</v>
      </c>
      <c r="D11" s="95">
        <f>'DOE25'!G12</f>
        <v>26371.97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1341.9</v>
      </c>
      <c r="D12" s="95">
        <f>'DOE25'!G13</f>
        <v>6175.08</v>
      </c>
      <c r="E12" s="95">
        <f>'DOE25'!H13</f>
        <v>82809.45</v>
      </c>
      <c r="F12" s="95">
        <f>'DOE25'!I13</f>
        <v>0</v>
      </c>
      <c r="G12" s="95">
        <f>'DOE25'!J13</f>
        <v>85030.91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4647.26</v>
      </c>
      <c r="D13" s="95">
        <f>'DOE25'!G14</f>
        <v>80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6022.35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7593.63</v>
      </c>
      <c r="D16" s="95">
        <f>'DOE25'!G17</f>
        <v>0</v>
      </c>
      <c r="E16" s="95">
        <f>'DOE25'!H17</f>
        <v>1730.67</v>
      </c>
      <c r="F16" s="95">
        <f>'DOE25'!I17</f>
        <v>0</v>
      </c>
      <c r="G16" s="95">
        <f>'DOE25'!J17</f>
        <v>500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-2352.06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712840.96</v>
      </c>
      <c r="D18" s="41">
        <f>SUM(D8:D17)</f>
        <v>52207.38</v>
      </c>
      <c r="E18" s="41">
        <f>SUM(E8:E17)</f>
        <v>84540.12</v>
      </c>
      <c r="F18" s="41">
        <f>SUM(F8:F17)</f>
        <v>8575.5</v>
      </c>
      <c r="G18" s="41">
        <f>SUM(G8:G17)</f>
        <v>85530.91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258776.64</v>
      </c>
      <c r="D21" s="95">
        <f>'DOE25'!G22</f>
        <v>0</v>
      </c>
      <c r="E21" s="95">
        <f>'DOE25'!H22</f>
        <v>81733.48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1128.83</v>
      </c>
      <c r="D22" s="95">
        <f>'DOE25'!G23</f>
        <v>1121.9100000000001</v>
      </c>
      <c r="E22" s="95">
        <f>'DOE25'!H23</f>
        <v>250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36085.42</v>
      </c>
      <c r="D23" s="95">
        <f>'DOE25'!G24</f>
        <v>1168.17</v>
      </c>
      <c r="E23" s="95">
        <f>'DOE25'!H24</f>
        <v>2556.64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32032.59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3601.19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432</v>
      </c>
      <c r="D29" s="95">
        <f>'DOE25'!G30</f>
        <v>8184.14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332056.67000000004</v>
      </c>
      <c r="D31" s="41">
        <f>SUM(D21:D30)</f>
        <v>10474.220000000001</v>
      </c>
      <c r="E31" s="41">
        <f>SUM(E21:E30)</f>
        <v>84540.12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6022.35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35710.81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8575.5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85530.91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23033.360000000001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347750.93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380784.29</v>
      </c>
      <c r="D50" s="41">
        <f>SUM(D34:D49)</f>
        <v>41733.159999999996</v>
      </c>
      <c r="E50" s="41">
        <f>SUM(E34:E49)</f>
        <v>0</v>
      </c>
      <c r="F50" s="41">
        <f>SUM(F34:F49)</f>
        <v>8575.5</v>
      </c>
      <c r="G50" s="41">
        <f>SUM(G34:G49)</f>
        <v>85530.91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712840.96</v>
      </c>
      <c r="D51" s="41">
        <f>D50+D31</f>
        <v>52207.38</v>
      </c>
      <c r="E51" s="41">
        <f>E50+E31</f>
        <v>84540.12</v>
      </c>
      <c r="F51" s="41">
        <f>F50+F31</f>
        <v>8575.5</v>
      </c>
      <c r="G51" s="41">
        <f>G50+G31</f>
        <v>85530.91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5667161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140028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1688.88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115305.38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90376.29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232093.16999999998</v>
      </c>
      <c r="D62" s="130">
        <f>SUM(D57:D61)</f>
        <v>115305.38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5899254.1699999999</v>
      </c>
      <c r="D63" s="22">
        <f>D56+D62</f>
        <v>115305.38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1933567.11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598574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2532141.1100000003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67503.759999999995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211734.91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1881.6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279238.67</v>
      </c>
      <c r="D78" s="130">
        <f>SUM(D72:D77)</f>
        <v>1881.6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2811379.7800000003</v>
      </c>
      <c r="D81" s="130">
        <f>SUM(D79:D80)+D78+D70</f>
        <v>1881.6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9640.67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100811.81</v>
      </c>
      <c r="D88" s="95">
        <f>SUM('DOE25'!G153:G161)</f>
        <v>32621.94</v>
      </c>
      <c r="E88" s="95">
        <f>SUM('DOE25'!H153:H161)</f>
        <v>130931.98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100811.81</v>
      </c>
      <c r="D91" s="131">
        <f>SUM(D85:D90)</f>
        <v>42262.61</v>
      </c>
      <c r="E91" s="131">
        <f>SUM(E85:E90)</f>
        <v>130931.98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8811445.7599999998</v>
      </c>
      <c r="D104" s="86">
        <f>D63+D81+D91+D103</f>
        <v>159449.59000000003</v>
      </c>
      <c r="E104" s="86">
        <f>E63+E81+E91+E103</f>
        <v>130931.98</v>
      </c>
      <c r="F104" s="86">
        <f>F63+F81+F91+F103</f>
        <v>0</v>
      </c>
      <c r="G104" s="86">
        <f>G63+G81+G103</f>
        <v>10000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3293606.36</v>
      </c>
      <c r="D109" s="24" t="s">
        <v>289</v>
      </c>
      <c r="E109" s="95">
        <f>('DOE25'!L276)+('DOE25'!L295)+('DOE25'!L314)</f>
        <v>29906.37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1651080.7000000002</v>
      </c>
      <c r="D110" s="24" t="s">
        <v>289</v>
      </c>
      <c r="E110" s="95">
        <f>('DOE25'!L277)+('DOE25'!L296)+('DOE25'!L315)</f>
        <v>71395.360000000001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4944687.0600000005</v>
      </c>
      <c r="D115" s="86">
        <f>SUM(D109:D114)</f>
        <v>0</v>
      </c>
      <c r="E115" s="86">
        <f>SUM(E109:E114)</f>
        <v>101301.73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866389.23</v>
      </c>
      <c r="D118" s="24" t="s">
        <v>289</v>
      </c>
      <c r="E118" s="95">
        <f>+('DOE25'!L281)+('DOE25'!L300)+('DOE25'!L319)</f>
        <v>633.53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219399.45</v>
      </c>
      <c r="D119" s="24" t="s">
        <v>289</v>
      </c>
      <c r="E119" s="95">
        <f>+('DOE25'!L282)+('DOE25'!L301)+('DOE25'!L320)</f>
        <v>28696.719999999998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289843.05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661564.84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695986.54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334367.68</v>
      </c>
      <c r="D124" s="24" t="s">
        <v>289</v>
      </c>
      <c r="E124" s="95">
        <f>+('DOE25'!L287)+('DOE25'!L306)+('DOE25'!L325)</f>
        <v>300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151374.6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3067550.79</v>
      </c>
      <c r="D128" s="86">
        <f>SUM(D118:D127)</f>
        <v>151374.6</v>
      </c>
      <c r="E128" s="86">
        <f>SUM(E118:E127)</f>
        <v>29630.249999999996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236449.11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247732.14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494181.25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8506419.1000000015</v>
      </c>
      <c r="D145" s="86">
        <f>(D115+D128+D144)</f>
        <v>151374.6</v>
      </c>
      <c r="E145" s="86">
        <f>(E115+E128+E144)</f>
        <v>130931.98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8/12</v>
      </c>
      <c r="C152" s="152" t="str">
        <f>'DOE25'!G491</f>
        <v>8/99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8/22</v>
      </c>
      <c r="C153" s="152" t="str">
        <f>'DOE25'!G492</f>
        <v>8/19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408500</v>
      </c>
      <c r="C154" s="137">
        <f>'DOE25'!G493</f>
        <v>5367912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2.3199999999999998</v>
      </c>
      <c r="C155" s="137">
        <f>'DOE25'!G494</f>
        <v>5.2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345000</v>
      </c>
      <c r="C156" s="137">
        <f>'DOE25'!G495</f>
        <v>1022859.05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1367859.05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182591.51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222591.51</v>
      </c>
    </row>
    <row r="159" spans="1:9" x14ac:dyDescent="0.2">
      <c r="A159" s="22" t="s">
        <v>35</v>
      </c>
      <c r="B159" s="137">
        <f>'DOE25'!F498</f>
        <v>305000</v>
      </c>
      <c r="C159" s="137">
        <f>'DOE25'!G498</f>
        <v>840267.54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1145267.54</v>
      </c>
    </row>
    <row r="160" spans="1:9" x14ac:dyDescent="0.2">
      <c r="A160" s="22" t="s">
        <v>36</v>
      </c>
      <c r="B160" s="137">
        <f>'DOE25'!F499</f>
        <v>42250</v>
      </c>
      <c r="C160" s="137">
        <f>'DOE25'!G499</f>
        <v>1322063.51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1364313.51</v>
      </c>
    </row>
    <row r="161" spans="1:7" x14ac:dyDescent="0.2">
      <c r="A161" s="22" t="s">
        <v>37</v>
      </c>
      <c r="B161" s="137">
        <f>'DOE25'!F500</f>
        <v>347250</v>
      </c>
      <c r="C161" s="137">
        <f>'DOE25'!G500</f>
        <v>2162331.0499999998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2509581.0499999998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182591.51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222591.51</v>
      </c>
    </row>
    <row r="163" spans="1:7" x14ac:dyDescent="0.2">
      <c r="A163" s="22" t="s">
        <v>39</v>
      </c>
      <c r="B163" s="137">
        <f>'DOE25'!F502</f>
        <v>9500</v>
      </c>
      <c r="C163" s="137">
        <f>'DOE25'!G502</f>
        <v>248233.49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257733.49</v>
      </c>
    </row>
    <row r="164" spans="1:7" x14ac:dyDescent="0.2">
      <c r="A164" s="22" t="s">
        <v>246</v>
      </c>
      <c r="B164" s="137">
        <f>'DOE25'!F503</f>
        <v>49500</v>
      </c>
      <c r="C164" s="137">
        <f>'DOE25'!G503</f>
        <v>430825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480325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Brookline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13682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13682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3323513</v>
      </c>
      <c r="D10" s="182">
        <f>ROUND((C10/$C$28)*100,1)</f>
        <v>39.4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1722476</v>
      </c>
      <c r="D11" s="182">
        <f>ROUND((C11/$C$28)*100,1)</f>
        <v>20.399999999999999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867023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248096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289843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661565</v>
      </c>
      <c r="D18" s="182">
        <f t="shared" si="0"/>
        <v>7.9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695987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334668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247732</v>
      </c>
      <c r="D25" s="182">
        <f t="shared" si="0"/>
        <v>2.9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36069.619999999995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8426972.6199999992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8426972.6199999992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236449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5667161</v>
      </c>
      <c r="D35" s="182">
        <f t="shared" ref="D35:D40" si="1">ROUND((C35/$C$41)*100,1)</f>
        <v>63.1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232093.16999999993</v>
      </c>
      <c r="D36" s="182">
        <f t="shared" si="1"/>
        <v>2.6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2532141</v>
      </c>
      <c r="D37" s="182">
        <f t="shared" si="1"/>
        <v>28.2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281120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274006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8986521.1699999999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Brookline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2015-10-12T13:26:34Z</cp:lastPrinted>
  <dcterms:created xsi:type="dcterms:W3CDTF">1997-12-04T19:04:30Z</dcterms:created>
  <dcterms:modified xsi:type="dcterms:W3CDTF">2015-10-23T17:35:20Z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