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50" yWindow="180" windowWidth="11370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D19" i="13" s="1"/>
  <c r="C19" i="13" s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90" i="1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5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E115" i="2" s="1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E128" i="2" s="1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L270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H639" i="1" s="1"/>
  <c r="G461" i="1"/>
  <c r="H461" i="1"/>
  <c r="I461" i="1"/>
  <c r="F470" i="1"/>
  <c r="G470" i="1"/>
  <c r="G476" i="1" s="1"/>
  <c r="H623" i="1" s="1"/>
  <c r="J623" i="1" s="1"/>
  <c r="H470" i="1"/>
  <c r="H476" i="1" s="1"/>
  <c r="H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K524" i="1"/>
  <c r="L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G640" i="1"/>
  <c r="H640" i="1"/>
  <c r="G641" i="1"/>
  <c r="H641" i="1"/>
  <c r="H642" i="1"/>
  <c r="G643" i="1"/>
  <c r="H643" i="1"/>
  <c r="G644" i="1"/>
  <c r="H644" i="1"/>
  <c r="J644" i="1" s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G164" i="2"/>
  <c r="C18" i="2"/>
  <c r="C26" i="10"/>
  <c r="L328" i="1"/>
  <c r="H660" i="1" s="1"/>
  <c r="L351" i="1"/>
  <c r="I662" i="1"/>
  <c r="A31" i="12"/>
  <c r="C70" i="2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4" i="13"/>
  <c r="C14" i="13" s="1"/>
  <c r="E13" i="13"/>
  <c r="C13" i="13" s="1"/>
  <c r="E78" i="2"/>
  <c r="E81" i="2" s="1"/>
  <c r="L427" i="1"/>
  <c r="H112" i="1"/>
  <c r="J641" i="1"/>
  <c r="J571" i="1"/>
  <c r="K571" i="1"/>
  <c r="L433" i="1"/>
  <c r="L419" i="1"/>
  <c r="D81" i="2"/>
  <c r="I169" i="1"/>
  <c r="H169" i="1"/>
  <c r="G552" i="1"/>
  <c r="J643" i="1"/>
  <c r="J476" i="1"/>
  <c r="H626" i="1" s="1"/>
  <c r="I476" i="1"/>
  <c r="H625" i="1" s="1"/>
  <c r="J625" i="1" s="1"/>
  <c r="F169" i="1"/>
  <c r="J140" i="1"/>
  <c r="I552" i="1"/>
  <c r="K549" i="1"/>
  <c r="K550" i="1"/>
  <c r="G22" i="2"/>
  <c r="K545" i="1"/>
  <c r="J552" i="1"/>
  <c r="C29" i="10"/>
  <c r="H140" i="1"/>
  <c r="L393" i="1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H192" i="1"/>
  <c r="F552" i="1"/>
  <c r="C35" i="10"/>
  <c r="L309" i="1"/>
  <c r="E16" i="13"/>
  <c r="J655" i="1"/>
  <c r="J645" i="1"/>
  <c r="L570" i="1"/>
  <c r="I571" i="1"/>
  <c r="J636" i="1"/>
  <c r="G36" i="2"/>
  <c r="G545" i="1"/>
  <c r="K551" i="1"/>
  <c r="C22" i="13"/>
  <c r="C138" i="2"/>
  <c r="C16" i="13"/>
  <c r="H33" i="13"/>
  <c r="A13" i="12" l="1"/>
  <c r="J639" i="1"/>
  <c r="I446" i="1"/>
  <c r="G642" i="1" s="1"/>
  <c r="L401" i="1"/>
  <c r="C139" i="2" s="1"/>
  <c r="K598" i="1"/>
  <c r="G647" i="1" s="1"/>
  <c r="J647" i="1" s="1"/>
  <c r="J649" i="1"/>
  <c r="L534" i="1"/>
  <c r="L545" i="1" s="1"/>
  <c r="K552" i="1"/>
  <c r="F476" i="1"/>
  <c r="H622" i="1" s="1"/>
  <c r="J622" i="1" s="1"/>
  <c r="D127" i="2"/>
  <c r="D128" i="2" s="1"/>
  <c r="D145" i="2" s="1"/>
  <c r="L362" i="1"/>
  <c r="C27" i="10" s="1"/>
  <c r="H661" i="1"/>
  <c r="I661" i="1" s="1"/>
  <c r="H664" i="1"/>
  <c r="C16" i="10"/>
  <c r="G257" i="1"/>
  <c r="G271" i="1" s="1"/>
  <c r="F257" i="1"/>
  <c r="F271" i="1" s="1"/>
  <c r="D12" i="13"/>
  <c r="C12" i="13" s="1"/>
  <c r="C18" i="10"/>
  <c r="E33" i="13"/>
  <c r="D35" i="13" s="1"/>
  <c r="C128" i="2"/>
  <c r="D5" i="13"/>
  <c r="C5" i="13" s="1"/>
  <c r="C109" i="2"/>
  <c r="C115" i="2" s="1"/>
  <c r="L211" i="1"/>
  <c r="L257" i="1" s="1"/>
  <c r="L271" i="1" s="1"/>
  <c r="G632" i="1" s="1"/>
  <c r="J632" i="1" s="1"/>
  <c r="C81" i="2"/>
  <c r="C62" i="2"/>
  <c r="C63" i="2" s="1"/>
  <c r="C104" i="2" s="1"/>
  <c r="J624" i="1"/>
  <c r="H52" i="1"/>
  <c r="H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G635" i="1"/>
  <c r="J635" i="1" s="1"/>
  <c r="L408" i="1" l="1"/>
  <c r="C141" i="2"/>
  <c r="C144" i="2" s="1"/>
  <c r="C145" i="2" s="1"/>
  <c r="D31" i="13"/>
  <c r="C31" i="13" s="1"/>
  <c r="C28" i="10"/>
  <c r="D19" i="10" s="1"/>
  <c r="F660" i="1"/>
  <c r="G672" i="1"/>
  <c r="C5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24" i="10"/>
  <c r="G637" i="1" l="1"/>
  <c r="J637" i="1" s="1"/>
  <c r="H646" i="1"/>
  <c r="J646" i="1" s="1"/>
  <c r="D23" i="10"/>
  <c r="D27" i="10"/>
  <c r="D22" i="10"/>
  <c r="D33" i="13"/>
  <c r="D36" i="13" s="1"/>
  <c r="D18" i="10"/>
  <c r="D11" i="10"/>
  <c r="C30" i="10"/>
  <c r="D10" i="10"/>
  <c r="D21" i="10"/>
  <c r="D26" i="10"/>
  <c r="D12" i="10"/>
  <c r="D13" i="10"/>
  <c r="D17" i="10"/>
  <c r="D16" i="10"/>
  <c r="D20" i="10"/>
  <c r="D15" i="10"/>
  <c r="D25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<sst xmlns="http://schemas.openxmlformats.org/spreadsheetml/2006/main" count="3954" uniqueCount="912">
  <si>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</si>
  <si>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</si>
  <si>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</si>
  <si>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</si>
  <si>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</si>
  <si>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</si>
  <si>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</si>
  <si>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</si>
  <si>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</si>
  <si>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</si>
  <si>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</si>
  <si>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</si>
  <si>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</si>
  <si>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</si>
  <si>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</si>
  <si>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</si>
  <si>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</si>
  <si>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</si>
  <si>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</si>
  <si>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</si>
  <si>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</si>
  <si>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</si>
  <si>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</si>
  <si>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</si>
  <si>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</si>
  <si>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</si>
  <si>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</si>
  <si>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</si>
  <si>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</si>
  <si>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</si>
  <si>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</si>
  <si>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</si>
  <si>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</si>
  <si>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</si>
  <si>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</si>
  <si>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</si>
  <si>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</si>
  <si>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</si>
  <si>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</si>
  <si>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</si>
  <si>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</si>
  <si>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</si>
  <si>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</si>
  <si>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</si>
  <si>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</si>
  <si>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</si>
  <si>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</si>
  <si>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</si>
  <si>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</si>
  <si>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</si>
  <si>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</si>
  <si>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</si>
  <si>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</si>
  <si>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</si>
  <si>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</si>
  <si>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</si>
  <si>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</si>
  <si>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</si>
  <si>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</si>
  <si>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</si>
  <si>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</si>
  <si>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</si>
  <si>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</si>
  <si>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</si>
  <si>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</si>
  <si>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</si>
  <si>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</si>
  <si>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</si>
  <si>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</si>
  <si>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</si>
  <si>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</si>
  <si>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</si>
  <si>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</si>
  <si>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</si>
  <si>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</si>
  <si>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</si>
  <si>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</si>
  <si>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</si>
  <si>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</si>
  <si>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</si>
  <si>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</si>
  <si>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</si>
  <si>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</si>
  <si>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</si>
  <si>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</si>
  <si>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</si>
  <si>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</si>
  <si>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</si>
  <si>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</si>
  <si>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</si>
  <si>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</si>
  <si>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</si>
  <si>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</si>
  <si>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</si>
  <si>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</si>
  <si>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</si>
  <si>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</si>
  <si>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</si>
  <si>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</si>
  <si>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</si>
  <si>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</si>
  <si>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</si>
  <si>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</si>
  <si>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</si>
  <si>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</si>
  <si>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</si>
  <si>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</si>
  <si>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</si>
  <si>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</si>
  <si>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</si>
  <si>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</si>
  <si>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</si>
  <si>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</si>
  <si>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</si>
  <si>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</si>
  <si>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</si>
  <si>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</si>
  <si>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</si>
  <si>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</si>
  <si>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</si>
  <si>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</si>
  <si>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</si>
  <si>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</si>
  <si>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</si>
  <si>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</si>
  <si>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</si>
  <si>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</si>
  <si>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</si>
  <si>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</si>
  <si>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</si>
  <si>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</si>
  <si>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</si>
  <si>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</si>
  <si>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</si>
  <si>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</si>
  <si>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</si>
  <si>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</si>
  <si>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</si>
  <si>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</si>
  <si>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</si>
  <si>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</si>
  <si>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</si>
  <si>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</si>
  <si>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</si>
  <si>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</si>
  <si>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</si>
  <si>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</si>
  <si>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</si>
  <si>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</si>
  <si>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</si>
  <si>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</si>
  <si>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</si>
  <si>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</si>
  <si>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</si>
  <si>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</si>
  <si>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</si>
  <si>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</si>
  <si>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</si>
  <si>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</si>
  <si>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</si>
  <si>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</si>
  <si>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</si>
  <si>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</si>
  <si>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</si>
  <si>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</si>
  <si>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</si>
  <si>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</si>
  <si>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</si>
  <si>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</si>
  <si>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</si>
  <si>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</si>
  <si>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</si>
  <si>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</si>
  <si>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</si>
  <si>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</si>
  <si>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</si>
  <si>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</si>
  <si>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</si>
  <si>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</si>
  <si>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</si>
  <si>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</si>
  <si>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</si>
  <si>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</si>
  <si>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</si>
  <si>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</si>
  <si>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</si>
  <si>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</si>
  <si>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</si>
  <si>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</si>
  <si>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</si>
  <si>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</si>
  <si>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</si>
  <si>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</si>
  <si>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</si>
  <si>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</si>
  <si>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</si>
  <si>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</si>
  <si>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</si>
  <si>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</si>
  <si>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</si>
  <si>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</si>
  <si>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</si>
  <si>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</si>
  <si>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</si>
  <si>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</si>
  <si>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</si>
  <si>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</si>
  <si>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</si>
  <si>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</si>
  <si>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</si>
  <si>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</si>
  <si>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</si>
  <si>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</si>
  <si>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</si>
  <si>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</si>
  <si>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</si>
  <si>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</si>
  <si>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</si>
  <si>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</si>
  <si>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</si>
  <si>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</si>
  <si>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</si>
  <si>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</si>
  <si>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</si>
  <si>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</si>
  <si>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</si>
  <si>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</si>
  <si>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</si>
  <si>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</si>
  <si>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</si>
  <si>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</si>
  <si>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</si>
  <si>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</si>
  <si>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</si>
  <si>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</si>
  <si>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</si>
  <si>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</si>
  <si>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</si>
  <si>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</si>
  <si>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</si>
  <si>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</si>
  <si>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</si>
  <si>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</si>
  <si>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</si>
  <si>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</si>
  <si>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</si>
  <si>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</si>
  <si>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</si>
  <si>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</si>
  <si>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</si>
  <si>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</si>
  <si>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</si>
  <si>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</si>
  <si>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</si>
  <si>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</si>
  <si>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</si>
  <si>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</si>
  <si>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</si>
  <si>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</si>
  <si>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</si>
  <si>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</si>
  <si>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</si>
  <si>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</si>
  <si>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</si>
  <si>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</si>
  <si>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</si>
  <si>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</si>
  <si>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</si>
  <si>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</si>
  <si>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</si>
  <si>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</si>
  <si>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</si>
  <si>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</si>
  <si>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</si>
  <si>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</si>
  <si>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</si>
  <si>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</si>
  <si>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</si>
  <si>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</si>
  <si>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</si>
  <si>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</si>
  <si>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</si>
  <si>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</si>
  <si>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</si>
  <si>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</si>
  <si>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</si>
  <si>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</si>
  <si>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</si>
  <si>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</si>
  <si>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</si>
  <si>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</si>
  <si>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</si>
  <si>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</si>
  <si>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</si>
  <si>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</si>
  <si>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</si>
  <si>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</si>
  <si>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</si>
  <si>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</si>
  <si>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</si>
  <si>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</si>
  <si>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</si>
  <si>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</si>
  <si>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</si>
  <si>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</si>
  <si>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</si>
  <si>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</si>
  <si>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</si>
  <si>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</si>
  <si>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</si>
  <si>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</si>
  <si>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</si>
  <si>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</si>
  <si>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</si>
  <si>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</si>
  <si>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</si>
  <si>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</si>
  <si>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</si>
  <si>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</si>
  <si>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</si>
  <si>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</si>
  <si>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</si>
  <si>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</si>
  <si>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</si>
  <si>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</si>
  <si>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</si>
  <si>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</si>
  <si>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</si>
  <si>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</si>
  <si>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</si>
  <si>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</si>
  <si>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</si>
  <si>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</si>
  <si>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</si>
  <si>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</si>
  <si>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</si>
  <si>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</si>
  <si>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</si>
  <si>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</si>
  <si>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</si>
  <si>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</si>
  <si>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</si>
  <si>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</si>
  <si>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</si>
  <si>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</si>
  <si>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</si>
  <si>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</si>
  <si>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</si>
  <si>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</si>
  <si>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</si>
  <si>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</si>
  <si>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</si>
  <si>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</si>
  <si>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</si>
  <si>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</si>
  <si>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</si>
  <si>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</si>
  <si>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</si>
  <si>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</si>
  <si>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</si>
  <si>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</si>
  <si>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</si>
  <si>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</si>
  <si>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</si>
  <si>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</si>
  <si>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</si>
  <si>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</si>
  <si>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</si>
  <si>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</si>
  <si>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</si>
  <si>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</si>
  <si>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</si>
  <si>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</si>
  <si>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</si>
  <si>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</si>
  <si>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</si>
  <si>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</si>
  <si>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</si>
  <si>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</si>
  <si>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</si>
  <si>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</si>
  <si>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</si>
  <si>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</si>
  <si>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</si>
  <si>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</si>
  <si>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</si>
  <si>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</si>
  <si>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</si>
  <si>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</si>
  <si>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</si>
  <si>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</si>
  <si>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</si>
  <si>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</si>
  <si>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</si>
  <si>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</si>
  <si>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</si>
  <si>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</si>
  <si>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</si>
  <si>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</si>
  <si>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</si>
  <si>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</si>
  <si>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</si>
  <si>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</si>
  <si>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</si>
  <si>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</si>
  <si>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</si>
  <si>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</si>
  <si>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</si>
  <si>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</si>
  <si>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</si>
  <si>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</si>
  <si>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</si>
  <si>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</si>
  <si>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</si>
  <si>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</si>
  <si>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</si>
  <si>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</si>
  <si>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</si>
  <si>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</si>
  <si>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</si>
  <si>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</si>
  <si>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</si>
  <si>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</si>
  <si>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</si>
  <si>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</si>
  <si>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</si>
  <si>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</si>
  <si>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</si>
  <si>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</si>
  <si>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</si>
  <si>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</si>
  <si>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</si>
  <si>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</si>
  <si>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</si>
  <si>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</si>
  <si>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</si>
  <si>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</si>
  <si>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</si>
  <si>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</si>
  <si>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</si>
  <si>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</si>
  <si>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</si>
  <si>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</si>
  <si>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</si>
  <si>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</si>
  <si>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</si>
  <si>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</si>
  <si>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</si>
  <si>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</si>
  <si>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</si>
  <si>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</si>
  <si>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</si>
  <si>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</si>
  <si>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</si>
  <si>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</si>
  <si>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</si>
  <si>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</si>
  <si>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</si>
  <si>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</si>
  <si>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</si>
  <si>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</si>
  <si>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</si>
  <si>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</si>
  <si>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</si>
  <si>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</si>
  <si>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</si>
  <si>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</si>
  <si>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</si>
  <si>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</si>
  <si>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</si>
  <si>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</si>
  <si>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</si>
  <si>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</si>
  <si>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</si>
  <si>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</si>
  <si>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</si>
  <si>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</si>
  <si>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</si>
  <si>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</si>
  <si>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</si>
  <si>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</si>
  <si>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</si>
  <si>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</si>
  <si>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</si>
  <si>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</si>
  <si>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</si>
  <si>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</si>
  <si>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</si>
  <si>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</si>
  <si>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</si>
  <si>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</si>
  <si>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</si>
  <si>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</si>
  <si>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</si>
  <si>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</si>
  <si>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</si>
  <si>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</si>
  <si>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</si>
  <si>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</si>
  <si>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</si>
  <si>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</si>
  <si>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</si>
  <si>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</si>
  <si>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</si>
  <si>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</si>
  <si>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</si>
  <si>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</si>
  <si>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</si>
  <si>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</si>
  <si>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</si>
  <si>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</si>
  <si>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</si>
  <si>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</si>
  <si>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</si>
  <si>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</si>
  <si>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</si>
  <si>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</si>
  <si>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</si>
  <si>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</si>
  <si>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</si>
  <si>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</si>
  <si>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</si>
  <si>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</si>
  <si>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</si>
  <si>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</si>
  <si>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</si>
  <si>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</si>
  <si>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</si>
  <si>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</si>
  <si>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</si>
  <si>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</si>
  <si>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</si>
  <si>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</si>
  <si>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</si>
  <si>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</si>
  <si>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</si>
  <si>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</si>
  <si>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</si>
  <si>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</si>
  <si>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</si>
  <si>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</si>
  <si>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</si>
  <si>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</si>
  <si>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</si>
  <si>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</si>
  <si>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</si>
  <si>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</si>
  <si>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</si>
  <si>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</si>
  <si>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</si>
  <si>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</si>
  <si>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</si>
  <si>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</si>
  <si>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</si>
  <si>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</si>
  <si>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</si>
  <si>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</si>
  <si>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</si>
  <si>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</si>
  <si>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</si>
  <si>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</si>
  <si>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</si>
  <si>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</si>
  <si>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</si>
  <si>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</si>
  <si>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</si>
  <si>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</si>
  <si>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</si>
  <si>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</si>
  <si>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</si>
  <si>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</si>
  <si>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</si>
  <si>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</si>
  <si>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</si>
  <si>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</si>
  <si>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</si>
  <si>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</si>
  <si>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</si>
  <si>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</si>
  <si>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</si>
  <si>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</si>
  <si>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</si>
  <si>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</si>
  <si>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</si>
  <si>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</si>
  <si>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</si>
  <si>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</si>
  <si>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</si>
  <si>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</si>
  <si>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</si>
  <si>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</si>
  <si>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</si>
  <si>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</si>
  <si>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</si>
  <si>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</si>
  <si>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</si>
  <si>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</si>
  <si>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</si>
  <si>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</si>
  <si>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</si>
  <si>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</si>
  <si>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</si>
  <si>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</si>
  <si>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</si>
  <si>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</si>
  <si>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</si>
  <si>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</si>
  <si>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</si>
  <si>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</si>
  <si>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</si>
  <si>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</si>
  <si>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</si>
  <si>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</si>
  <si>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</si>
  <si>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</si>
  <si>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</si>
  <si>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</si>
  <si>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</si>
  <si>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</si>
  <si>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</si>
  <si>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</si>
  <si>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</si>
  <si>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</si>
  <si>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</si>
  <si>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</si>
  <si>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</si>
  <si>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</si>
  <si>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</si>
  <si>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</si>
  <si>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</si>
  <si>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</si>
  <si>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</si>
  <si>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</si>
  <si>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</si>
  <si>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</si>
  <si>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</si>
  <si>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</si>
  <si>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</si>
  <si>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</si>
  <si>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</si>
  <si>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</si>
  <si>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</si>
  <si>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</si>
  <si>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</si>
  <si>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</si>
  <si>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</si>
  <si>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</si>
  <si>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</si>
  <si>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</si>
  <si>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</si>
  <si>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</si>
  <si>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</si>
  <si>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</si>
  <si>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</si>
  <si>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</si>
  <si>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</si>
  <si>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</si>
  <si>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</si>
  <si>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</si>
  <si>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</si>
  <si>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</si>
  <si>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</si>
  <si>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</si>
  <si>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</si>
  <si>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</si>
  <si>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</si>
  <si>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</si>
  <si>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</si>
  <si>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</si>
  <si>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</si>
  <si>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</si>
  <si>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</si>
  <si>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</si>
  <si>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</si>
  <si>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</si>
  <si>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</si>
  <si>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</si>
  <si>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</si>
  <si>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</si>
  <si>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</si>
  <si>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</si>
  <si>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</si>
  <si>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</si>
  <si>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</si>
  <si>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</si>
  <si>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</si>
  <si>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</si>
  <si>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</si>
  <si>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</si>
  <si>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</si>
  <si>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</si>
  <si>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</si>
  <si>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</si>
  <si>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</si>
  <si>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</si>
  <si>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</si>
  <si>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</si>
  <si>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</si>
  <si>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</si>
  <si>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</si>
  <si>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</si>
  <si>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</si>
  <si>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</si>
  <si>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</si>
  <si>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</si>
  <si>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</si>
  <si>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</si>
  <si>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</si>
  <si>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</si>
  <si>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</si>
  <si>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</si>
  <si>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</si>
  <si>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</si>
  <si>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</si>
  <si>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</si>
  <si>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</si>
  <si>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</si>
  <si>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</si>
  <si>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</si>
  <si>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</si>
  <si>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</si>
  <si>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</si>
  <si>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</si>
  <si>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</si>
  <si>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</si>
  <si>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</si>
  <si>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</si>
  <si>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</si>
  <si>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</si>
  <si>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</si>
  <si>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</si>
  <si>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</si>
  <si>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</si>
  <si>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</si>
  <si>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</si>
  <si>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</si>
  <si>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</si>
  <si>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</si>
  <si>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</si>
  <si>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</si>
  <si>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</si>
  <si>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</si>
  <si>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</si>
  <si>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</si>
  <si>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</si>
  <si>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</si>
  <si>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</si>
  <si>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</si>
  <si>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</si>
  <si>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</si>
  <si>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</si>
  <si>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</si>
  <si>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</si>
  <si>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</si>
  <si>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</si>
  <si>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</si>
  <si>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</si>
  <si>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</si>
  <si>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</si>
  <si>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</si>
  <si>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</si>
  <si>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</si>
  <si>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</si>
  <si>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</si>
  <si>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</si>
  <si>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</si>
  <si>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</si>
  <si>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</si>
  <si>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</si>
  <si>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</si>
  <si>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</si>
  <si>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</si>
  <si>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</si>
  <si>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</si>
  <si>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</si>
  <si>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</si>
  <si>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</si>
  <si>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</si>
  <si>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</si>
  <si>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</si>
  <si>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</si>
  <si>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</si>
  <si>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</si>
  <si>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</si>
  <si>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</si>
  <si>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</si>
  <si>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</si>
  <si>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</si>
  <si>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</si>
  <si>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</si>
  <si>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</si>
  <si>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</si>
  <si>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</si>
  <si>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</si>
  <si>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</si>
  <si>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</si>
  <si>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</si>
  <si>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</si>
  <si>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</si>
  <si>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</si>
  <si>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</si>
  <si>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</si>
  <si>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</si>
  <si>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</si>
  <si>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</si>
  <si>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</si>
  <si>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</si>
  <si>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</si>
  <si>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</si>
  <si>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</si>
  <si>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</si>
  <si>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</si>
  <si>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</si>
  <si>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</si>
  <si>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</si>
  <si>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</si>
  <si>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</si>
  <si>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</si>
  <si>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</si>
  <si>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</si>
  <si>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</si>
  <si>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</si>
  <si>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</si>
  <si>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</si>
  <si>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</si>
  <si>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</si>
  <si>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</si>
  <si>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</si>
  <si>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</si>
  <si>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</si>
  <si>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</si>
  <si>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</si>
  <si>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</si>
  <si>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</si>
  <si>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</si>
  <si>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</si>
  <si>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</si>
  <si>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</si>
  <si>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</si>
  <si>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</si>
  <si>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</si>
  <si>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</si>
  <si>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</si>
  <si>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</si>
  <si>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</si>
  <si>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</si>
  <si>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</si>
  <si>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</si>
  <si>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</si>
  <si>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</si>
  <si>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</si>
  <si>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</si>
  <si>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</si>
  <si>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</si>
  <si>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</si>
  <si>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</si>
  <si>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</si>
  <si>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</si>
  <si>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</si>
  <si>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</si>
  <si>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</si>
  <si>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</si>
  <si>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</si>
  <si>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</si>
  <si>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</si>
  <si>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</si>
  <si>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</si>
  <si>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</si>
  <si>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</si>
  <si>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</si>
  <si>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</si>
  <si>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</si>
  <si>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</si>
  <si>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</si>
  <si>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</si>
  <si>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</si>
  <si>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</si>
  <si>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</si>
  <si>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</si>
  <si>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</si>
  <si>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</si>
  <si>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</si>
  <si>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</si>
  <si>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</si>
  <si>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</si>
  <si>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</si>
  <si>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</si>
  <si>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</si>
  <si>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</si>
  <si>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</si>
  <si>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</si>
  <si>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</si>
  <si>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</si>
  <si>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</si>
  <si>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</si>
  <si>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</si>
  <si>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</si>
  <si>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</si>
  <si>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</si>
  <si>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</si>
  <si>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</si>
  <si>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</si>
  <si>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</si>
  <si>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</si>
  <si>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</si>
  <si>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</si>
  <si>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</si>
  <si>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</si>
  <si>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</si>
  <si>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</si>
  <si>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</si>
  <si>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Campton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</si>
</sst>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75</v>
      </c>
      <c r="C2" s="21">
        <v>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221267.52</v>
      </c>
      <c r="G9" s="18">
        <v>-18096.41</v>
      </c>
      <c r="H9" s="18">
        <v>-20114.509999999998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970.04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1349.48</v>
      </c>
      <c r="G13" s="18">
        <v>20726.759999999998</v>
      </c>
      <c r="H13" s="18">
        <v>21258.04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20783.919999999998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14175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257575.91999999998</v>
      </c>
      <c r="G19" s="41">
        <f>SUM(G9:G18)</f>
        <v>2630.3499999999985</v>
      </c>
      <c r="H19" s="41">
        <f>SUM(H9:H18)</f>
        <v>1143.5300000000025</v>
      </c>
      <c r="I19" s="41">
        <f>SUM(I9:I18)</f>
        <v>0</v>
      </c>
      <c r="J19" s="41">
        <f>SUM(J9:J18)</f>
        <v>970.04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35765.24</v>
      </c>
      <c r="G24" s="18">
        <v>2630.35</v>
      </c>
      <c r="H24" s="18">
        <v>863.56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226.76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35992</v>
      </c>
      <c r="G32" s="41">
        <f>SUM(G22:G31)</f>
        <v>2630.35</v>
      </c>
      <c r="H32" s="41">
        <f>SUM(H22:H31)</f>
        <v>863.56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207807.58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970.04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>
        <v>279.97000000000003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13776.34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221583.91999999998</v>
      </c>
      <c r="G51" s="41">
        <f>SUM(G35:G50)</f>
        <v>0</v>
      </c>
      <c r="H51" s="41">
        <f>SUM(H35:H50)</f>
        <v>279.97000000000003</v>
      </c>
      <c r="I51" s="41">
        <f>SUM(I35:I50)</f>
        <v>0</v>
      </c>
      <c r="J51" s="41">
        <f>SUM(J35:J50)</f>
        <v>970.04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257575.91999999998</v>
      </c>
      <c r="G52" s="41">
        <f>G51+G32</f>
        <v>2630.35</v>
      </c>
      <c r="H52" s="41">
        <f>H51+H32</f>
        <v>1143.53</v>
      </c>
      <c r="I52" s="41">
        <f>I51+I32</f>
        <v>0</v>
      </c>
      <c r="J52" s="41">
        <f>J51+J32</f>
        <v>970.04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3663740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3663740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18336.5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52993.19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71329.69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182.63</v>
      </c>
      <c r="G96" s="18">
        <v>4.3099999999999996</v>
      </c>
      <c r="H96" s="18"/>
      <c r="I96" s="18"/>
      <c r="J96" s="18">
        <v>0.03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40516.93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6283.51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3154.35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28128.28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37748.769999999997</v>
      </c>
      <c r="G111" s="41">
        <f>SUM(G96:G110)</f>
        <v>40521.24</v>
      </c>
      <c r="H111" s="41">
        <f>SUM(H96:H110)</f>
        <v>0</v>
      </c>
      <c r="I111" s="41">
        <f>SUM(I96:I110)</f>
        <v>0</v>
      </c>
      <c r="J111" s="41">
        <f>SUM(J96:J110)</f>
        <v>0.03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3772818.46</v>
      </c>
      <c r="G112" s="41">
        <f>G60+G111</f>
        <v>40521.24</v>
      </c>
      <c r="H112" s="41">
        <f>H60+H79+H94+H111</f>
        <v>0</v>
      </c>
      <c r="I112" s="41">
        <f>I60+I111</f>
        <v>0</v>
      </c>
      <c r="J112" s="41">
        <f>J60+J111</f>
        <v>0.03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1262810.05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622359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1885169.05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18988.11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1367.49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18988.11</v>
      </c>
      <c r="G136" s="41">
        <f>SUM(G123:G135)</f>
        <v>1367.49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1904157.1600000001</v>
      </c>
      <c r="G140" s="41">
        <f>G121+SUM(G136:G137)</f>
        <v>1367.49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108541.55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40569.03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68966.95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55155.22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55155.22</v>
      </c>
      <c r="G162" s="41">
        <f>SUM(G150:G161)</f>
        <v>68966.95</v>
      </c>
      <c r="H162" s="41">
        <f>SUM(H150:H161)</f>
        <v>149110.58000000002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2098.67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57253.89</v>
      </c>
      <c r="G169" s="41">
        <f>G147+G162+SUM(G163:G168)</f>
        <v>68966.95</v>
      </c>
      <c r="H169" s="41">
        <f>H147+H162+SUM(H163:H168)</f>
        <v>149110.58000000002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33179.69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33179.69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33179.69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5734229.5099999998</v>
      </c>
      <c r="G193" s="47">
        <f>G112+G140+G169+G192</f>
        <v>144035.37</v>
      </c>
      <c r="H193" s="47">
        <f>H112+H140+H169+H192</f>
        <v>149110.58000000002</v>
      </c>
      <c r="I193" s="47">
        <f>I112+I140+I169+I192</f>
        <v>0</v>
      </c>
      <c r="J193" s="47">
        <f>J112+J140+J192</f>
        <v>0.03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1678366.76</v>
      </c>
      <c r="G197" s="18">
        <v>802947.6</v>
      </c>
      <c r="H197" s="18">
        <v>11071.36</v>
      </c>
      <c r="I197" s="18">
        <v>53741.19</v>
      </c>
      <c r="J197" s="18">
        <v>25536.22</v>
      </c>
      <c r="K197" s="18">
        <v>535</v>
      </c>
      <c r="L197" s="19">
        <f>SUM(F197:K197)</f>
        <v>2572198.13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462598.95</v>
      </c>
      <c r="G198" s="18">
        <v>175830.25</v>
      </c>
      <c r="H198" s="18">
        <v>168258.69</v>
      </c>
      <c r="I198" s="18">
        <v>1005.43</v>
      </c>
      <c r="J198" s="18">
        <v>0</v>
      </c>
      <c r="K198" s="18">
        <v>670</v>
      </c>
      <c r="L198" s="19">
        <f>SUM(F198:K198)</f>
        <v>808363.32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51102.84</v>
      </c>
      <c r="G200" s="18">
        <v>10008.24</v>
      </c>
      <c r="H200" s="18">
        <v>6166.27</v>
      </c>
      <c r="I200" s="18">
        <v>3478.96</v>
      </c>
      <c r="J200" s="18">
        <v>651.79999999999995</v>
      </c>
      <c r="K200" s="18">
        <v>5652.59</v>
      </c>
      <c r="L200" s="19">
        <f>SUM(F200:K200)</f>
        <v>77060.7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238240.37</v>
      </c>
      <c r="G202" s="18">
        <v>109828.77</v>
      </c>
      <c r="H202" s="18">
        <v>177097.37</v>
      </c>
      <c r="I202" s="18">
        <v>3797.04</v>
      </c>
      <c r="J202" s="18">
        <v>144.94999999999999</v>
      </c>
      <c r="K202" s="18"/>
      <c r="L202" s="19">
        <f t="shared" ref="L202:L208" si="0">SUM(F202:K202)</f>
        <v>529108.5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22881.32</v>
      </c>
      <c r="G203" s="18">
        <v>59504.99</v>
      </c>
      <c r="H203" s="18">
        <v>771</v>
      </c>
      <c r="I203" s="18">
        <v>5963.97</v>
      </c>
      <c r="J203" s="18"/>
      <c r="K203" s="18"/>
      <c r="L203" s="19">
        <f t="shared" si="0"/>
        <v>89121.279999999999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6320</v>
      </c>
      <c r="G204" s="18">
        <v>466.65</v>
      </c>
      <c r="H204" s="18">
        <v>197592.94</v>
      </c>
      <c r="I204" s="18">
        <v>1787.36</v>
      </c>
      <c r="J204" s="18"/>
      <c r="K204" s="18">
        <v>3211.86</v>
      </c>
      <c r="L204" s="19">
        <f t="shared" si="0"/>
        <v>209378.80999999997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216560.63</v>
      </c>
      <c r="G205" s="18">
        <v>111404.48</v>
      </c>
      <c r="H205" s="18">
        <v>4003.23</v>
      </c>
      <c r="I205" s="18">
        <v>1144.42</v>
      </c>
      <c r="J205" s="18"/>
      <c r="K205" s="18">
        <v>3055.76</v>
      </c>
      <c r="L205" s="19">
        <f t="shared" si="0"/>
        <v>336168.51999999996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100736.92</v>
      </c>
      <c r="G207" s="18">
        <v>28369.75</v>
      </c>
      <c r="H207" s="18">
        <v>141689.85999999999</v>
      </c>
      <c r="I207" s="18">
        <v>121405.33</v>
      </c>
      <c r="J207" s="18">
        <v>7395.54</v>
      </c>
      <c r="K207" s="18"/>
      <c r="L207" s="19">
        <f t="shared" si="0"/>
        <v>399597.39999999997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254896.53</v>
      </c>
      <c r="I208" s="18"/>
      <c r="J208" s="18"/>
      <c r="K208" s="18"/>
      <c r="L208" s="19">
        <f t="shared" si="0"/>
        <v>254896.53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2776807.7899999996</v>
      </c>
      <c r="G211" s="41">
        <f t="shared" si="1"/>
        <v>1298360.7299999997</v>
      </c>
      <c r="H211" s="41">
        <f t="shared" si="1"/>
        <v>961547.24999999988</v>
      </c>
      <c r="I211" s="41">
        <f t="shared" si="1"/>
        <v>192323.7</v>
      </c>
      <c r="J211" s="41">
        <f t="shared" si="1"/>
        <v>33728.51</v>
      </c>
      <c r="K211" s="41">
        <f t="shared" si="1"/>
        <v>13125.210000000001</v>
      </c>
      <c r="L211" s="41">
        <f t="shared" si="1"/>
        <v>5275893.1899999995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29467.58</v>
      </c>
      <c r="G253" s="18">
        <v>2468.87</v>
      </c>
      <c r="H253" s="18"/>
      <c r="I253" s="18">
        <v>86.81</v>
      </c>
      <c r="J253" s="18"/>
      <c r="K253" s="18"/>
      <c r="L253" s="19">
        <f t="shared" si="6"/>
        <v>32023.260000000002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306037.89</v>
      </c>
      <c r="I255" s="18"/>
      <c r="J255" s="18"/>
      <c r="K255" s="18"/>
      <c r="L255" s="19">
        <f t="shared" si="6"/>
        <v>306037.89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29467.58</v>
      </c>
      <c r="G256" s="41">
        <f t="shared" si="7"/>
        <v>2468.87</v>
      </c>
      <c r="H256" s="41">
        <f t="shared" si="7"/>
        <v>306037.89</v>
      </c>
      <c r="I256" s="41">
        <f t="shared" si="7"/>
        <v>86.81</v>
      </c>
      <c r="J256" s="41">
        <f t="shared" si="7"/>
        <v>0</v>
      </c>
      <c r="K256" s="41">
        <f t="shared" si="7"/>
        <v>0</v>
      </c>
      <c r="L256" s="41">
        <f>SUM(F256:K256)</f>
        <v>338061.15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2806275.3699999996</v>
      </c>
      <c r="G257" s="41">
        <f t="shared" si="8"/>
        <v>1300829.5999999999</v>
      </c>
      <c r="H257" s="41">
        <f t="shared" si="8"/>
        <v>1267585.1399999999</v>
      </c>
      <c r="I257" s="41">
        <f t="shared" si="8"/>
        <v>192410.51</v>
      </c>
      <c r="J257" s="41">
        <f t="shared" si="8"/>
        <v>33728.51</v>
      </c>
      <c r="K257" s="41">
        <f t="shared" si="8"/>
        <v>13125.210000000001</v>
      </c>
      <c r="L257" s="41">
        <f t="shared" si="8"/>
        <v>5613954.3399999999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33179.69</v>
      </c>
      <c r="L263" s="19">
        <f>SUM(F263:K263)</f>
        <v>33179.69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33179.69</v>
      </c>
      <c r="L270" s="41">
        <f t="shared" si="9"/>
        <v>33179.69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2806275.3699999996</v>
      </c>
      <c r="G271" s="42">
        <f t="shared" si="11"/>
        <v>1300829.5999999999</v>
      </c>
      <c r="H271" s="42">
        <f t="shared" si="11"/>
        <v>1267585.1399999999</v>
      </c>
      <c r="I271" s="42">
        <f t="shared" si="11"/>
        <v>192410.51</v>
      </c>
      <c r="J271" s="42">
        <f t="shared" si="11"/>
        <v>33728.51</v>
      </c>
      <c r="K271" s="42">
        <f t="shared" si="11"/>
        <v>46304.9</v>
      </c>
      <c r="L271" s="42">
        <f t="shared" si="11"/>
        <v>5647134.0300000003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93829.52</v>
      </c>
      <c r="G276" s="18">
        <v>44139.63</v>
      </c>
      <c r="H276" s="18"/>
      <c r="I276" s="18"/>
      <c r="J276" s="18"/>
      <c r="K276" s="18"/>
      <c r="L276" s="19">
        <f>SUM(F276:K276)</f>
        <v>137969.15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591.17999999999995</v>
      </c>
      <c r="J277" s="18"/>
      <c r="K277" s="18"/>
      <c r="L277" s="19">
        <f>SUM(F277:K277)</f>
        <v>591.17999999999995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1478.29</v>
      </c>
      <c r="I282" s="18"/>
      <c r="J282" s="18"/>
      <c r="K282" s="18"/>
      <c r="L282" s="19">
        <f t="shared" si="12"/>
        <v>1478.29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5502.27</v>
      </c>
      <c r="G283" s="18"/>
      <c r="H283" s="18"/>
      <c r="I283" s="18"/>
      <c r="J283" s="18"/>
      <c r="K283" s="18">
        <v>878.7</v>
      </c>
      <c r="L283" s="19">
        <f t="shared" si="12"/>
        <v>6380.97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2411.02</v>
      </c>
      <c r="L285" s="19">
        <f t="shared" si="12"/>
        <v>2411.02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99331.790000000008</v>
      </c>
      <c r="G290" s="42">
        <f t="shared" si="13"/>
        <v>44139.63</v>
      </c>
      <c r="H290" s="42">
        <f t="shared" si="13"/>
        <v>1478.29</v>
      </c>
      <c r="I290" s="42">
        <f t="shared" si="13"/>
        <v>591.17999999999995</v>
      </c>
      <c r="J290" s="42">
        <f t="shared" si="13"/>
        <v>0</v>
      </c>
      <c r="K290" s="42">
        <f t="shared" si="13"/>
        <v>3289.7200000000003</v>
      </c>
      <c r="L290" s="41">
        <f t="shared" si="13"/>
        <v>148830.60999999999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99331.790000000008</v>
      </c>
      <c r="G338" s="41">
        <f t="shared" si="20"/>
        <v>44139.63</v>
      </c>
      <c r="H338" s="41">
        <f t="shared" si="20"/>
        <v>1478.29</v>
      </c>
      <c r="I338" s="41">
        <f t="shared" si="20"/>
        <v>591.17999999999995</v>
      </c>
      <c r="J338" s="41">
        <f t="shared" si="20"/>
        <v>0</v>
      </c>
      <c r="K338" s="41">
        <f t="shared" si="20"/>
        <v>3289.7200000000003</v>
      </c>
      <c r="L338" s="41">
        <f t="shared" si="20"/>
        <v>148830.60999999999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99331.790000000008</v>
      </c>
      <c r="G352" s="41">
        <f>G338</f>
        <v>44139.63</v>
      </c>
      <c r="H352" s="41">
        <f>H338</f>
        <v>1478.29</v>
      </c>
      <c r="I352" s="41">
        <f>I338</f>
        <v>591.17999999999995</v>
      </c>
      <c r="J352" s="41">
        <f>J338</f>
        <v>0</v>
      </c>
      <c r="K352" s="47">
        <f>K338+K351</f>
        <v>3289.7200000000003</v>
      </c>
      <c r="L352" s="41">
        <f>L338+L351</f>
        <v>148830.60999999999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144035.37</v>
      </c>
      <c r="I358" s="18"/>
      <c r="J358" s="18"/>
      <c r="K358" s="18"/>
      <c r="L358" s="13">
        <f>SUM(F358:K358)</f>
        <v>144035.37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144035.37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144035.37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0.03</v>
      </c>
      <c r="I396" s="18"/>
      <c r="J396" s="24" t="s">
        <v>289</v>
      </c>
      <c r="K396" s="24" t="s">
        <v>289</v>
      </c>
      <c r="L396" s="56">
        <f t="shared" si="26"/>
        <v>0.03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0.03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0.03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0.03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0.03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970.04</v>
      </c>
      <c r="G440" s="18"/>
      <c r="H440" s="18"/>
      <c r="I440" s="56">
        <f t="shared" si="33"/>
        <v>970.04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970.04</v>
      </c>
      <c r="G446" s="13">
        <f>SUM(G439:G445)</f>
        <v>0</v>
      </c>
      <c r="H446" s="13">
        <f>SUM(H439:H445)</f>
        <v>0</v>
      </c>
      <c r="I446" s="13">
        <f>SUM(I439:I445)</f>
        <v>970.04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970.04</v>
      </c>
      <c r="G459" s="18"/>
      <c r="H459" s="18"/>
      <c r="I459" s="56">
        <f t="shared" si="34"/>
        <v>970.04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970.04</v>
      </c>
      <c r="G460" s="83">
        <f>SUM(G454:G459)</f>
        <v>0</v>
      </c>
      <c r="H460" s="83">
        <f>SUM(H454:H459)</f>
        <v>0</v>
      </c>
      <c r="I460" s="83">
        <f>SUM(I454:I459)</f>
        <v>970.04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970.04</v>
      </c>
      <c r="G461" s="42">
        <f>G452+G460</f>
        <v>0</v>
      </c>
      <c r="H461" s="42">
        <f>H452+H460</f>
        <v>0</v>
      </c>
      <c r="I461" s="42">
        <f>I452+I460</f>
        <v>970.04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134488.44</v>
      </c>
      <c r="G465" s="18"/>
      <c r="H465" s="18"/>
      <c r="I465" s="18"/>
      <c r="J465" s="18">
        <v>970.01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5734229.5099999998</v>
      </c>
      <c r="G468" s="18">
        <v>144035.37</v>
      </c>
      <c r="H468" s="18">
        <v>149110.57999999999</v>
      </c>
      <c r="I468" s="18"/>
      <c r="J468" s="18">
        <v>0.03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5734229.5099999998</v>
      </c>
      <c r="G470" s="53">
        <f>SUM(G468:G469)</f>
        <v>144035.37</v>
      </c>
      <c r="H470" s="53">
        <f>SUM(H468:H469)</f>
        <v>149110.57999999999</v>
      </c>
      <c r="I470" s="53">
        <f>SUM(I468:I469)</f>
        <v>0</v>
      </c>
      <c r="J470" s="53">
        <f>SUM(J468:J469)</f>
        <v>0.03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5647134.0300000003</v>
      </c>
      <c r="G472" s="18">
        <v>144035.37</v>
      </c>
      <c r="H472" s="18">
        <v>148830.60999999999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5647134.0300000003</v>
      </c>
      <c r="G474" s="53">
        <f>SUM(G472:G473)</f>
        <v>144035.37</v>
      </c>
      <c r="H474" s="53">
        <f>SUM(H472:H473)</f>
        <v>148830.60999999999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221583.91999999993</v>
      </c>
      <c r="G476" s="53">
        <f>(G465+G470)- G474</f>
        <v>0</v>
      </c>
      <c r="H476" s="53">
        <f>(H465+H470)- H474</f>
        <v>279.97000000000116</v>
      </c>
      <c r="I476" s="53">
        <f>(I465+I470)- I474</f>
        <v>0</v>
      </c>
      <c r="J476" s="53">
        <f>(J465+J470)- J474</f>
        <v>970.04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462598.95</v>
      </c>
      <c r="G521" s="18">
        <v>175830.25</v>
      </c>
      <c r="H521" s="18">
        <v>168258.69</v>
      </c>
      <c r="I521" s="18">
        <v>1005.43</v>
      </c>
      <c r="J521" s="18"/>
      <c r="K521" s="18">
        <v>670</v>
      </c>
      <c r="L521" s="88">
        <f>SUM(F521:K521)</f>
        <v>808363.32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462598.95</v>
      </c>
      <c r="G524" s="108">
        <f t="shared" ref="G524:L524" si="36">SUM(G521:G523)</f>
        <v>175830.25</v>
      </c>
      <c r="H524" s="108">
        <f t="shared" si="36"/>
        <v>168258.69</v>
      </c>
      <c r="I524" s="108">
        <f t="shared" si="36"/>
        <v>1005.43</v>
      </c>
      <c r="J524" s="108">
        <f t="shared" si="36"/>
        <v>0</v>
      </c>
      <c r="K524" s="108">
        <f t="shared" si="36"/>
        <v>670</v>
      </c>
      <c r="L524" s="89">
        <f t="shared" si="36"/>
        <v>808363.32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152881.65</v>
      </c>
      <c r="G526" s="18">
        <v>70835.23</v>
      </c>
      <c r="H526" s="18">
        <v>117042.04</v>
      </c>
      <c r="I526" s="18">
        <v>1738.49</v>
      </c>
      <c r="J526" s="18">
        <v>144.94999999999999</v>
      </c>
      <c r="K526" s="18"/>
      <c r="L526" s="88">
        <f>SUM(F526:K526)</f>
        <v>342642.36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152881.65</v>
      </c>
      <c r="G529" s="89">
        <f t="shared" ref="G529:L529" si="37">SUM(G526:G528)</f>
        <v>70835.23</v>
      </c>
      <c r="H529" s="89">
        <f t="shared" si="37"/>
        <v>117042.04</v>
      </c>
      <c r="I529" s="89">
        <f t="shared" si="37"/>
        <v>1738.49</v>
      </c>
      <c r="J529" s="89">
        <f t="shared" si="37"/>
        <v>144.94999999999999</v>
      </c>
      <c r="K529" s="89">
        <f t="shared" si="37"/>
        <v>0</v>
      </c>
      <c r="L529" s="89">
        <f t="shared" si="37"/>
        <v>342642.36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16415.7</v>
      </c>
      <c r="G531" s="18">
        <v>6756.9</v>
      </c>
      <c r="H531" s="18">
        <v>310.69</v>
      </c>
      <c r="I531" s="18"/>
      <c r="J531" s="18"/>
      <c r="K531" s="18"/>
      <c r="L531" s="88">
        <f>SUM(F531:K531)</f>
        <v>23483.289999999997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16415.7</v>
      </c>
      <c r="G534" s="89">
        <f t="shared" ref="G534:L534" si="38">SUM(G531:G533)</f>
        <v>6756.9</v>
      </c>
      <c r="H534" s="89">
        <f t="shared" si="38"/>
        <v>310.69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23483.289999999997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43764.73</v>
      </c>
      <c r="I541" s="18"/>
      <c r="J541" s="18"/>
      <c r="K541" s="18"/>
      <c r="L541" s="88">
        <f>SUM(F541:K541)</f>
        <v>43764.73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43764.73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43764.73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631896.29999999993</v>
      </c>
      <c r="G545" s="89">
        <f t="shared" ref="G545:L545" si="41">G524+G529+G534+G539+G544</f>
        <v>253422.37999999998</v>
      </c>
      <c r="H545" s="89">
        <f t="shared" si="41"/>
        <v>329376.14999999997</v>
      </c>
      <c r="I545" s="89">
        <f t="shared" si="41"/>
        <v>2743.92</v>
      </c>
      <c r="J545" s="89">
        <f t="shared" si="41"/>
        <v>144.94999999999999</v>
      </c>
      <c r="K545" s="89">
        <f t="shared" si="41"/>
        <v>670</v>
      </c>
      <c r="L545" s="89">
        <f t="shared" si="41"/>
        <v>1218253.7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808363.32</v>
      </c>
      <c r="G549" s="87">
        <f>L526</f>
        <v>342642.36</v>
      </c>
      <c r="H549" s="87">
        <f>L531</f>
        <v>23483.289999999997</v>
      </c>
      <c r="I549" s="87">
        <f>L536</f>
        <v>0</v>
      </c>
      <c r="J549" s="87">
        <f>L541</f>
        <v>43764.73</v>
      </c>
      <c r="K549" s="87">
        <f>SUM(F549:J549)</f>
        <v>1218253.7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808363.32</v>
      </c>
      <c r="G552" s="89">
        <f t="shared" si="42"/>
        <v>342642.36</v>
      </c>
      <c r="H552" s="89">
        <f t="shared" si="42"/>
        <v>23483.289999999997</v>
      </c>
      <c r="I552" s="89">
        <f t="shared" si="42"/>
        <v>0</v>
      </c>
      <c r="J552" s="89">
        <f t="shared" si="42"/>
        <v>43764.73</v>
      </c>
      <c r="K552" s="89">
        <f t="shared" si="42"/>
        <v>1218253.7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70</v>
      </c>
      <c r="G562" s="18">
        <v>5.36</v>
      </c>
      <c r="H562" s="18"/>
      <c r="I562" s="18"/>
      <c r="J562" s="18"/>
      <c r="K562" s="18"/>
      <c r="L562" s="88">
        <f>SUM(F562:K562)</f>
        <v>75.36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70</v>
      </c>
      <c r="G565" s="89">
        <f t="shared" si="44"/>
        <v>5.36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75.36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70</v>
      </c>
      <c r="G571" s="89">
        <f t="shared" ref="G571:L571" si="46">G560+G565+G570</f>
        <v>5.36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75.36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108891.32</v>
      </c>
      <c r="G579" s="18"/>
      <c r="H579" s="18"/>
      <c r="I579" s="87">
        <f t="shared" si="47"/>
        <v>108891.32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27213.040000000001</v>
      </c>
      <c r="G583" s="18"/>
      <c r="H583" s="18"/>
      <c r="I583" s="87">
        <f t="shared" si="47"/>
        <v>27213.040000000001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203308</v>
      </c>
      <c r="I591" s="18"/>
      <c r="J591" s="18"/>
      <c r="K591" s="104">
        <f t="shared" ref="K591:K597" si="48">SUM(H591:J591)</f>
        <v>203308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43764.73</v>
      </c>
      <c r="I592" s="18"/>
      <c r="J592" s="18"/>
      <c r="K592" s="104">
        <f t="shared" si="48"/>
        <v>43764.73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4315</v>
      </c>
      <c r="I594" s="18"/>
      <c r="J594" s="18"/>
      <c r="K594" s="104">
        <f t="shared" si="48"/>
        <v>4315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3508.8</v>
      </c>
      <c r="I595" s="18"/>
      <c r="J595" s="18"/>
      <c r="K595" s="104">
        <f t="shared" si="48"/>
        <v>3508.8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254896.53</v>
      </c>
      <c r="I598" s="108">
        <f>SUM(I591:I597)</f>
        <v>0</v>
      </c>
      <c r="J598" s="108">
        <f>SUM(J591:J597)</f>
        <v>0</v>
      </c>
      <c r="K598" s="108">
        <f>SUM(K591:K597)</f>
        <v>254896.53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33728.51</v>
      </c>
      <c r="I604" s="18"/>
      <c r="J604" s="18"/>
      <c r="K604" s="104">
        <f>SUM(H604:J604)</f>
        <v>33728.51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33728.51</v>
      </c>
      <c r="I605" s="108">
        <f>SUM(I602:I604)</f>
        <v>0</v>
      </c>
      <c r="J605" s="108">
        <f>SUM(J602:J604)</f>
        <v>0</v>
      </c>
      <c r="K605" s="108">
        <f>SUM(K602:K604)</f>
        <v>33728.51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257575.91999999998</v>
      </c>
      <c r="H617" s="109">
        <f>SUM(F52)</f>
        <v>257575.91999999998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2630.3499999999985</v>
      </c>
      <c r="H618" s="109">
        <f>SUM(G52)</f>
        <v>2630.35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1143.5300000000025</v>
      </c>
      <c r="H619" s="109">
        <f>SUM(H52)</f>
        <v>1143.53</v>
      </c>
      <c r="I619" s="121" t="s">
        <v>893</v>
      </c>
      <c r="J619" s="109">
        <f>G619-H619</f>
        <v>2.5011104298755527E-12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970.04</v>
      </c>
      <c r="H621" s="109">
        <f>SUM(J52)</f>
        <v>970.04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221583.91999999998</v>
      </c>
      <c r="H622" s="109">
        <f>F476</f>
        <v>221583.91999999993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279.97000000000003</v>
      </c>
      <c r="H624" s="109">
        <f>H476</f>
        <v>279.97000000000116</v>
      </c>
      <c r="I624" s="121" t="s">
        <v>103</v>
      </c>
      <c r="J624" s="109">
        <f t="shared" si="50"/>
        <v>-1.1368683772161603E-12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970.04</v>
      </c>
      <c r="H626" s="109">
        <f>J476</f>
        <v>970.04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5734229.5099999998</v>
      </c>
      <c r="H627" s="104">
        <f>SUM(F468)</f>
        <v>5734229.5099999998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144035.37</v>
      </c>
      <c r="H628" s="104">
        <f>SUM(G468)</f>
        <v>144035.37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149110.58000000002</v>
      </c>
      <c r="H629" s="104">
        <f>SUM(H468)</f>
        <v>149110.57999999999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0.03</v>
      </c>
      <c r="H631" s="104">
        <f>SUM(J468)</f>
        <v>0.03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5647134.0300000003</v>
      </c>
      <c r="H632" s="104">
        <f>SUM(F472)</f>
        <v>5647134.0300000003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148830.60999999999</v>
      </c>
      <c r="H633" s="104">
        <f>SUM(H472)</f>
        <v>148830.60999999999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144035.37</v>
      </c>
      <c r="H635" s="104">
        <f>SUM(G472)</f>
        <v>144035.37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0.03</v>
      </c>
      <c r="H637" s="164">
        <f>SUM(J468)</f>
        <v>0.03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970.04</v>
      </c>
      <c r="H639" s="104">
        <f>SUM(F461)</f>
        <v>970.04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970.04</v>
      </c>
      <c r="H642" s="104">
        <f>SUM(I461)</f>
        <v>970.04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0.03</v>
      </c>
      <c r="H644" s="104">
        <f>H408</f>
        <v>0.03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0.03</v>
      </c>
      <c r="H646" s="104">
        <f>L408</f>
        <v>0.03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254896.53</v>
      </c>
      <c r="H647" s="104">
        <f>L208+L226+L244</f>
        <v>254896.53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33728.51</v>
      </c>
      <c r="H648" s="104">
        <f>(J257+J338)-(J255+J336)</f>
        <v>33728.51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254896.53</v>
      </c>
      <c r="H649" s="104">
        <f>H598</f>
        <v>254896.53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33179.69</v>
      </c>
      <c r="H652" s="104">
        <f>K263+K345</f>
        <v>33179.69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5568759.1699999999</v>
      </c>
      <c r="G660" s="19">
        <f>(L229+L309+L359)</f>
        <v>0</v>
      </c>
      <c r="H660" s="19">
        <f>(L247+L328+L360)</f>
        <v>0</v>
      </c>
      <c r="I660" s="19">
        <f>SUM(F660:H660)</f>
        <v>5568759.1699999999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40516.93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40516.93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254896.53</v>
      </c>
      <c r="G662" s="19">
        <f>(L226+L306)-(J226+J306)</f>
        <v>0</v>
      </c>
      <c r="H662" s="19">
        <f>(L244+L325)-(J244+J325)</f>
        <v>0</v>
      </c>
      <c r="I662" s="19">
        <f>SUM(F662:H662)</f>
        <v>254896.53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169832.87000000002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169832.87000000002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5103512.84</v>
      </c>
      <c r="G664" s="19">
        <f>G660-SUM(G661:G663)</f>
        <v>0</v>
      </c>
      <c r="H664" s="19">
        <f>H660-SUM(H661:H663)</f>
        <v>0</v>
      </c>
      <c r="I664" s="19">
        <f>I660-SUM(I661:I663)</f>
        <v>5103512.84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294.64</v>
      </c>
      <c r="G665" s="248"/>
      <c r="H665" s="248"/>
      <c r="I665" s="19">
        <f>SUM(F665:H665)</f>
        <v>294.64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17321.18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17321.18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17321.18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17321.18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Campton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1772196.28</v>
      </c>
      <c r="C9" s="229">
        <f>'DOE25'!G197+'DOE25'!G215+'DOE25'!G233+'DOE25'!G276+'DOE25'!G295+'DOE25'!G314</f>
        <v>847087.23</v>
      </c>
    </row>
    <row r="10" spans="1:3" x14ac:dyDescent="0.2">
      <c r="A10" t="s">
        <v>779</v>
      </c>
      <c r="B10" s="240">
        <v>1712238.96</v>
      </c>
      <c r="C10" s="240">
        <v>840112.94</v>
      </c>
    </row>
    <row r="11" spans="1:3" x14ac:dyDescent="0.2">
      <c r="A11" t="s">
        <v>780</v>
      </c>
      <c r="B11" s="240">
        <v>23752.959999999999</v>
      </c>
      <c r="C11" s="240">
        <v>3868.84</v>
      </c>
    </row>
    <row r="12" spans="1:3" x14ac:dyDescent="0.2">
      <c r="A12" t="s">
        <v>781</v>
      </c>
      <c r="B12" s="240">
        <v>36204.36</v>
      </c>
      <c r="C12" s="240">
        <v>3105.45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1772196.28</v>
      </c>
      <c r="C13" s="231">
        <f>SUM(C10:C12)</f>
        <v>847087.22999999986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462598.95</v>
      </c>
      <c r="C18" s="229">
        <f>'DOE25'!G198+'DOE25'!G216+'DOE25'!G234+'DOE25'!G277+'DOE25'!G296+'DOE25'!G315</f>
        <v>175830.25</v>
      </c>
    </row>
    <row r="19" spans="1:3" x14ac:dyDescent="0.2">
      <c r="A19" t="s">
        <v>779</v>
      </c>
      <c r="B19" s="240">
        <v>219815.86</v>
      </c>
      <c r="C19" s="240">
        <v>107436.56</v>
      </c>
    </row>
    <row r="20" spans="1:3" x14ac:dyDescent="0.2">
      <c r="A20" t="s">
        <v>780</v>
      </c>
      <c r="B20" s="240">
        <v>224533.49</v>
      </c>
      <c r="C20" s="240">
        <v>65207.42</v>
      </c>
    </row>
    <row r="21" spans="1:3" x14ac:dyDescent="0.2">
      <c r="A21" t="s">
        <v>781</v>
      </c>
      <c r="B21" s="240">
        <v>18249.599999999999</v>
      </c>
      <c r="C21" s="240">
        <v>3186.27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462598.94999999995</v>
      </c>
      <c r="C22" s="231">
        <f>SUM(C19:C21)</f>
        <v>175830.24999999997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51102.84</v>
      </c>
      <c r="C36" s="235">
        <f>'DOE25'!G200+'DOE25'!G218+'DOE25'!G236+'DOE25'!G279+'DOE25'!G298+'DOE25'!G317</f>
        <v>10008.24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51102.84</v>
      </c>
      <c r="C39" s="240">
        <v>10008.24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51102.84</v>
      </c>
      <c r="C40" s="231">
        <f>SUM(C37:C39)</f>
        <v>10008.24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Campton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3457622.15</v>
      </c>
      <c r="D5" s="20">
        <f>SUM('DOE25'!L197:L200)+SUM('DOE25'!L215:L218)+SUM('DOE25'!L233:L236)-F5-G5</f>
        <v>3424576.54</v>
      </c>
      <c r="E5" s="243"/>
      <c r="F5" s="255">
        <f>SUM('DOE25'!J197:J200)+SUM('DOE25'!J215:J218)+SUM('DOE25'!J233:J236)</f>
        <v>26188.02</v>
      </c>
      <c r="G5" s="53">
        <f>SUM('DOE25'!K197:K200)+SUM('DOE25'!K215:K218)+SUM('DOE25'!K233:K236)</f>
        <v>6857.59</v>
      </c>
      <c r="H5" s="259"/>
    </row>
    <row r="6" spans="1:9" x14ac:dyDescent="0.2">
      <c r="A6" s="32">
        <v>2100</v>
      </c>
      <c r="B6" t="s">
        <v>801</v>
      </c>
      <c r="C6" s="245">
        <f t="shared" si="0"/>
        <v>529108.5</v>
      </c>
      <c r="D6" s="20">
        <f>'DOE25'!L202+'DOE25'!L220+'DOE25'!L238-F6-G6</f>
        <v>528963.55000000005</v>
      </c>
      <c r="E6" s="243"/>
      <c r="F6" s="255">
        <f>'DOE25'!J202+'DOE25'!J220+'DOE25'!J238</f>
        <v>144.94999999999999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89121.279999999999</v>
      </c>
      <c r="D7" s="20">
        <f>'DOE25'!L203+'DOE25'!L221+'DOE25'!L239-F7-G7</f>
        <v>89121.279999999999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112836.75999999998</v>
      </c>
      <c r="D8" s="243"/>
      <c r="E8" s="20">
        <f>'DOE25'!L204+'DOE25'!L222+'DOE25'!L240-F8-G8-D9-D11</f>
        <v>109624.89999999998</v>
      </c>
      <c r="F8" s="255">
        <f>'DOE25'!J204+'DOE25'!J222+'DOE25'!J240</f>
        <v>0</v>
      </c>
      <c r="G8" s="53">
        <f>'DOE25'!K204+'DOE25'!K222+'DOE25'!K240</f>
        <v>3211.86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21055.81</v>
      </c>
      <c r="D9" s="244">
        <v>21055.81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75486.240000000005</v>
      </c>
      <c r="D11" s="244">
        <v>75486.240000000005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336168.51999999996</v>
      </c>
      <c r="D12" s="20">
        <f>'DOE25'!L205+'DOE25'!L223+'DOE25'!L241-F12-G12</f>
        <v>333112.75999999995</v>
      </c>
      <c r="E12" s="243"/>
      <c r="F12" s="255">
        <f>'DOE25'!J205+'DOE25'!J223+'DOE25'!J241</f>
        <v>0</v>
      </c>
      <c r="G12" s="53">
        <f>'DOE25'!K205+'DOE25'!K223+'DOE25'!K241</f>
        <v>3055.76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399597.39999999997</v>
      </c>
      <c r="D14" s="20">
        <f>'DOE25'!L207+'DOE25'!L225+'DOE25'!L243-F14-G14</f>
        <v>392201.86</v>
      </c>
      <c r="E14" s="243"/>
      <c r="F14" s="255">
        <f>'DOE25'!J207+'DOE25'!J225+'DOE25'!J243</f>
        <v>7395.54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254896.53</v>
      </c>
      <c r="D15" s="20">
        <f>'DOE25'!L208+'DOE25'!L226+'DOE25'!L244-F15-G15</f>
        <v>254896.53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32023.260000000002</v>
      </c>
      <c r="D19" s="20">
        <f>'DOE25'!L253-F19-G19</f>
        <v>32023.260000000002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306037.89</v>
      </c>
      <c r="D22" s="243"/>
      <c r="E22" s="243"/>
      <c r="F22" s="255">
        <f>'DOE25'!L255+'DOE25'!L336</f>
        <v>306037.89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144035.37</v>
      </c>
      <c r="D29" s="20">
        <f>'DOE25'!L358+'DOE25'!L359+'DOE25'!L360-'DOE25'!I367-F29-G29</f>
        <v>144035.37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148830.60999999999</v>
      </c>
      <c r="D31" s="20">
        <f>'DOE25'!L290+'DOE25'!L309+'DOE25'!L328+'DOE25'!L333+'DOE25'!L334+'DOE25'!L335-F31-G31</f>
        <v>145540.88999999998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3289.7200000000003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5441014.0899999999</v>
      </c>
      <c r="E33" s="246">
        <f>SUM(E5:E31)</f>
        <v>113624.89999999998</v>
      </c>
      <c r="F33" s="246">
        <f>SUM(F5:F31)</f>
        <v>339766.4</v>
      </c>
      <c r="G33" s="246">
        <f>SUM(G5:G31)</f>
        <v>16414.93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113624.89999999998</v>
      </c>
      <c r="E35" s="249"/>
    </row>
    <row r="36" spans="2:8" ht="12" thickTop="1" x14ac:dyDescent="0.2">
      <c r="B36" t="s">
        <v>815</v>
      </c>
      <c r="D36" s="20">
        <f>D33</f>
        <v>5441014.0899999999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Campton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221267.52</v>
      </c>
      <c r="D8" s="95">
        <f>'DOE25'!G9</f>
        <v>-18096.41</v>
      </c>
      <c r="E8" s="95">
        <f>'DOE25'!H9</f>
        <v>-20114.509999999998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970.04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1349.48</v>
      </c>
      <c r="D12" s="95">
        <f>'DOE25'!G13</f>
        <v>20726.759999999998</v>
      </c>
      <c r="E12" s="95">
        <f>'DOE25'!H13</f>
        <v>21258.04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20783.919999999998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14175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257575.91999999998</v>
      </c>
      <c r="D18" s="41">
        <f>SUM(D8:D17)</f>
        <v>2630.3499999999985</v>
      </c>
      <c r="E18" s="41">
        <f>SUM(E8:E17)</f>
        <v>1143.5300000000025</v>
      </c>
      <c r="F18" s="41">
        <f>SUM(F8:F17)</f>
        <v>0</v>
      </c>
      <c r="G18" s="41">
        <f>SUM(G8:G17)</f>
        <v>970.04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35765.24</v>
      </c>
      <c r="D23" s="95">
        <f>'DOE25'!G24</f>
        <v>2630.35</v>
      </c>
      <c r="E23" s="95">
        <f>'DOE25'!H24</f>
        <v>863.56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226.76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35992</v>
      </c>
      <c r="D31" s="41">
        <f>SUM(D21:D30)</f>
        <v>2630.35</v>
      </c>
      <c r="E31" s="41">
        <f>SUM(E21:E30)</f>
        <v>863.56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207807.58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970.04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279.97000000000003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13776.34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221583.91999999998</v>
      </c>
      <c r="D50" s="41">
        <f>SUM(D34:D49)</f>
        <v>0</v>
      </c>
      <c r="E50" s="41">
        <f>SUM(E34:E49)</f>
        <v>279.97000000000003</v>
      </c>
      <c r="F50" s="41">
        <f>SUM(F34:F49)</f>
        <v>0</v>
      </c>
      <c r="G50" s="41">
        <f>SUM(G34:G49)</f>
        <v>970.04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257575.91999999998</v>
      </c>
      <c r="D51" s="41">
        <f>D50+D31</f>
        <v>2630.35</v>
      </c>
      <c r="E51" s="41">
        <f>E50+E31</f>
        <v>1143.53</v>
      </c>
      <c r="F51" s="41">
        <f>F50+F31</f>
        <v>0</v>
      </c>
      <c r="G51" s="41">
        <f>G50+G31</f>
        <v>970.04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3663740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71329.69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182.63</v>
      </c>
      <c r="D59" s="95">
        <f>'DOE25'!G96</f>
        <v>4.3099999999999996</v>
      </c>
      <c r="E59" s="95">
        <f>'DOE25'!H96</f>
        <v>0</v>
      </c>
      <c r="F59" s="95">
        <f>'DOE25'!I96</f>
        <v>0</v>
      </c>
      <c r="G59" s="95">
        <f>'DOE25'!J96</f>
        <v>0.03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40516.93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37566.14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109078.46</v>
      </c>
      <c r="D62" s="130">
        <f>SUM(D57:D61)</f>
        <v>40521.24</v>
      </c>
      <c r="E62" s="130">
        <f>SUM(E57:E61)</f>
        <v>0</v>
      </c>
      <c r="F62" s="130">
        <f>SUM(F57:F61)</f>
        <v>0</v>
      </c>
      <c r="G62" s="130">
        <f>SUM(G57:G61)</f>
        <v>0.03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3772818.46</v>
      </c>
      <c r="D63" s="22">
        <f>D56+D62</f>
        <v>40521.24</v>
      </c>
      <c r="E63" s="22">
        <f>E56+E62</f>
        <v>0</v>
      </c>
      <c r="F63" s="22">
        <f>F56+F62</f>
        <v>0</v>
      </c>
      <c r="G63" s="22">
        <f>G56+G62</f>
        <v>0.03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1262810.05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622359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1885169.05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18988.11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1367.49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18988.11</v>
      </c>
      <c r="D78" s="130">
        <f>SUM(D72:D77)</f>
        <v>1367.49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1904157.1600000001</v>
      </c>
      <c r="D81" s="130">
        <f>SUM(D79:D80)+D78+D70</f>
        <v>1367.49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55155.22</v>
      </c>
      <c r="D88" s="95">
        <f>SUM('DOE25'!G153:G161)</f>
        <v>68966.95</v>
      </c>
      <c r="E88" s="95">
        <f>SUM('DOE25'!H153:H161)</f>
        <v>149110.58000000002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2098.67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57253.89</v>
      </c>
      <c r="D91" s="131">
        <f>SUM(D85:D90)</f>
        <v>68966.95</v>
      </c>
      <c r="E91" s="131">
        <f>SUM(E85:E90)</f>
        <v>149110.58000000002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33179.69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33179.69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5734229.5099999998</v>
      </c>
      <c r="D104" s="86">
        <f>D63+D81+D91+D103</f>
        <v>144035.37</v>
      </c>
      <c r="E104" s="86">
        <f>E63+E81+E91+E103</f>
        <v>149110.58000000002</v>
      </c>
      <c r="F104" s="86">
        <f>F63+F81+F91+F103</f>
        <v>0</v>
      </c>
      <c r="G104" s="86">
        <f>G63+G81+G103</f>
        <v>0.03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2572198.13</v>
      </c>
      <c r="D109" s="24" t="s">
        <v>289</v>
      </c>
      <c r="E109" s="95">
        <f>('DOE25'!L276)+('DOE25'!L295)+('DOE25'!L314)</f>
        <v>137969.15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808363.32</v>
      </c>
      <c r="D110" s="24" t="s">
        <v>289</v>
      </c>
      <c r="E110" s="95">
        <f>('DOE25'!L277)+('DOE25'!L296)+('DOE25'!L315)</f>
        <v>591.17999999999995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77060.7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32023.260000000002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3489645.4099999997</v>
      </c>
      <c r="D115" s="86">
        <f>SUM(D109:D114)</f>
        <v>0</v>
      </c>
      <c r="E115" s="86">
        <f>SUM(E109:E114)</f>
        <v>138560.32999999999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529108.5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89121.279999999999</v>
      </c>
      <c r="D119" s="24" t="s">
        <v>289</v>
      </c>
      <c r="E119" s="95">
        <f>+('DOE25'!L282)+('DOE25'!L301)+('DOE25'!L320)</f>
        <v>1478.29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209378.80999999997</v>
      </c>
      <c r="D120" s="24" t="s">
        <v>289</v>
      </c>
      <c r="E120" s="95">
        <f>+('DOE25'!L283)+('DOE25'!L302)+('DOE25'!L321)</f>
        <v>6380.97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336168.51999999996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2411.02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399597.39999999997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254896.53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144035.37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1818271.0399999998</v>
      </c>
      <c r="D128" s="86">
        <f>SUM(D118:D127)</f>
        <v>144035.37</v>
      </c>
      <c r="E128" s="86">
        <f>SUM(E118:E127)</f>
        <v>10270.280000000001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306037.89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33179.69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0.03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-0.03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339217.58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5647134.0299999993</v>
      </c>
      <c r="D145" s="86">
        <f>(D115+D128+D144)</f>
        <v>144035.37</v>
      </c>
      <c r="E145" s="86">
        <f>(E115+E128+E144)</f>
        <v>148830.60999999999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Campton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17321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17321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2710167</v>
      </c>
      <c r="D10" s="182">
        <f>ROUND((C10/$C$28)*100,1)</f>
        <v>48.7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808955</v>
      </c>
      <c r="D11" s="182">
        <f>ROUND((C11/$C$28)*100,1)</f>
        <v>14.5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77061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529109</v>
      </c>
      <c r="D15" s="182">
        <f t="shared" ref="D15:D27" si="0">ROUND((C15/$C$28)*100,1)</f>
        <v>9.5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90600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215760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336169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2411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399597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254897</v>
      </c>
      <c r="D21" s="182">
        <f t="shared" si="0"/>
        <v>4.5999999999999996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32023</v>
      </c>
      <c r="D24" s="182">
        <f t="shared" si="0"/>
        <v>0.6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103518.07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5560267.0700000003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306038</v>
      </c>
    </row>
    <row r="30" spans="1:4" x14ac:dyDescent="0.2">
      <c r="B30" s="187" t="s">
        <v>729</v>
      </c>
      <c r="C30" s="180">
        <f>SUM(C28:C29)</f>
        <v>5866305.0700000003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3663740</v>
      </c>
      <c r="D35" s="182">
        <f t="shared" ref="D35:D40" si="1">ROUND((C35/$C$41)*100,1)</f>
        <v>61.5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109082.79999999981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1885169</v>
      </c>
      <c r="D37" s="182">
        <f t="shared" si="1"/>
        <v>31.7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20356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275331</v>
      </c>
      <c r="D39" s="182">
        <f t="shared" si="1"/>
        <v>4.5999999999999996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5953678.7999999998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Campton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2015-08-20T12:41:19Z</cp:lastPrinted>
  <dcterms:created xsi:type="dcterms:W3CDTF">1997-12-04T19:04:30Z</dcterms:created>
  <dcterms:modified xsi:type="dcterms:W3CDTF">2015-10-23T17:34:40Z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