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1570" windowHeight="81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J465" i="1"/>
  <c r="G441" i="1"/>
  <c r="G396" i="1"/>
  <c r="G531" i="1" l="1"/>
  <c r="G533" i="1"/>
  <c r="D11" i="13"/>
  <c r="D9" i="13"/>
  <c r="C37" i="12"/>
  <c r="B37" i="12"/>
  <c r="B19" i="12"/>
  <c r="C19" i="12"/>
  <c r="C20" i="12"/>
  <c r="B20" i="12"/>
  <c r="C21" i="12"/>
  <c r="C10" i="12"/>
  <c r="B10" i="12"/>
  <c r="B12" i="12"/>
  <c r="H198" i="1"/>
  <c r="H234" i="1"/>
  <c r="H204" i="1"/>
  <c r="H202" i="1"/>
  <c r="J202" i="1"/>
  <c r="H581" i="1"/>
  <c r="H577" i="1"/>
  <c r="H541" i="1"/>
  <c r="J531" i="1" l="1"/>
  <c r="H531" i="1"/>
  <c r="F531" i="1"/>
  <c r="I526" i="1"/>
  <c r="H526" i="1"/>
  <c r="G526" i="1"/>
  <c r="F526" i="1"/>
  <c r="F499" i="1" l="1"/>
  <c r="F498" i="1"/>
  <c r="F465" i="1"/>
  <c r="H604" i="1"/>
  <c r="H159" i="1"/>
  <c r="H155" i="1"/>
  <c r="H277" i="1" l="1"/>
  <c r="F277" i="1"/>
  <c r="J277" i="1"/>
  <c r="I277" i="1"/>
  <c r="G277" i="1"/>
  <c r="I276" i="1"/>
  <c r="H276" i="1"/>
  <c r="G276" i="1"/>
  <c r="F276" i="1"/>
  <c r="H154" i="1"/>
  <c r="F50" i="1"/>
  <c r="G40" i="1"/>
  <c r="I358" i="1"/>
  <c r="H358" i="1"/>
  <c r="G358" i="1"/>
  <c r="F358" i="1"/>
  <c r="H207" i="1"/>
  <c r="I205" i="1"/>
  <c r="K204" i="1"/>
  <c r="H203" i="1"/>
  <c r="G203" i="1"/>
  <c r="G198" i="1"/>
  <c r="F198" i="1"/>
  <c r="I197" i="1"/>
  <c r="G197" i="1"/>
  <c r="F9" i="1"/>
  <c r="I207" i="1" l="1"/>
  <c r="G207" i="1"/>
  <c r="F207" i="1"/>
  <c r="F205" i="1"/>
  <c r="K205" i="1"/>
  <c r="H205" i="1"/>
  <c r="G205" i="1"/>
  <c r="G204" i="1"/>
  <c r="J204" i="1"/>
  <c r="I204" i="1"/>
  <c r="F204" i="1"/>
  <c r="I203" i="1"/>
  <c r="F203" i="1"/>
  <c r="G202" i="1"/>
  <c r="I202" i="1"/>
  <c r="F202" i="1"/>
  <c r="G200" i="1" l="1"/>
  <c r="F200" i="1"/>
  <c r="I198" i="1"/>
  <c r="J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L247" i="1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D15" i="13" s="1"/>
  <c r="C15" i="13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3" i="10"/>
  <c r="C16" i="10"/>
  <c r="C18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F470" i="1"/>
  <c r="G470" i="1"/>
  <c r="G476" i="1" s="1"/>
  <c r="H623" i="1" s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L351" i="1"/>
  <c r="L290" i="1"/>
  <c r="A31" i="12"/>
  <c r="C70" i="2"/>
  <c r="A40" i="12"/>
  <c r="D12" i="13"/>
  <c r="C12" i="13" s="1"/>
  <c r="D18" i="13"/>
  <c r="C18" i="13" s="1"/>
  <c r="D7" i="13"/>
  <c r="C7" i="13" s="1"/>
  <c r="D17" i="13"/>
  <c r="C17" i="13" s="1"/>
  <c r="E8" i="13"/>
  <c r="C8" i="13" s="1"/>
  <c r="C91" i="2"/>
  <c r="F78" i="2"/>
  <c r="F81" i="2" s="1"/>
  <c r="C78" i="2"/>
  <c r="D50" i="2"/>
  <c r="F18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H112" i="1"/>
  <c r="J639" i="1"/>
  <c r="L433" i="1"/>
  <c r="D81" i="2"/>
  <c r="I169" i="1"/>
  <c r="J476" i="1"/>
  <c r="H626" i="1" s="1"/>
  <c r="I476" i="1"/>
  <c r="H625" i="1" s="1"/>
  <c r="J625" i="1" s="1"/>
  <c r="J140" i="1"/>
  <c r="F571" i="1"/>
  <c r="I552" i="1"/>
  <c r="K550" i="1"/>
  <c r="G22" i="2"/>
  <c r="K545" i="1"/>
  <c r="J552" i="1"/>
  <c r="H552" i="1"/>
  <c r="C29" i="10"/>
  <c r="I661" i="1"/>
  <c r="H140" i="1"/>
  <c r="L393" i="1"/>
  <c r="F22" i="13"/>
  <c r="H25" i="13"/>
  <c r="C25" i="13" s="1"/>
  <c r="H571" i="1"/>
  <c r="H338" i="1"/>
  <c r="H352" i="1" s="1"/>
  <c r="F338" i="1"/>
  <c r="F352" i="1" s="1"/>
  <c r="G192" i="1"/>
  <c r="H192" i="1"/>
  <c r="E128" i="2"/>
  <c r="C35" i="10"/>
  <c r="L309" i="1"/>
  <c r="E16" i="13"/>
  <c r="C16" i="13" s="1"/>
  <c r="J636" i="1"/>
  <c r="G36" i="2"/>
  <c r="L565" i="1"/>
  <c r="C22" i="13"/>
  <c r="C138" i="2"/>
  <c r="L524" i="1" l="1"/>
  <c r="J545" i="1"/>
  <c r="K352" i="1"/>
  <c r="I460" i="1"/>
  <c r="I461" i="1" s="1"/>
  <c r="H642" i="1" s="1"/>
  <c r="L401" i="1"/>
  <c r="C139" i="2" s="1"/>
  <c r="J640" i="1"/>
  <c r="C17" i="10"/>
  <c r="H660" i="1"/>
  <c r="H664" i="1" s="1"/>
  <c r="H667" i="1" s="1"/>
  <c r="C120" i="2"/>
  <c r="J257" i="1"/>
  <c r="J271" i="1" s="1"/>
  <c r="G545" i="1"/>
  <c r="H545" i="1"/>
  <c r="K551" i="1"/>
  <c r="L529" i="1"/>
  <c r="G164" i="2"/>
  <c r="G161" i="2"/>
  <c r="G156" i="2"/>
  <c r="K549" i="1"/>
  <c r="H461" i="1"/>
  <c r="H641" i="1" s="1"/>
  <c r="F112" i="1"/>
  <c r="J112" i="1"/>
  <c r="J193" i="1" s="1"/>
  <c r="G646" i="1" s="1"/>
  <c r="K598" i="1"/>
  <c r="G647" i="1" s="1"/>
  <c r="J634" i="1"/>
  <c r="J645" i="1"/>
  <c r="H257" i="1"/>
  <c r="H271" i="1" s="1"/>
  <c r="H476" i="1"/>
  <c r="H624" i="1" s="1"/>
  <c r="H52" i="1"/>
  <c r="H619" i="1" s="1"/>
  <c r="J623" i="1"/>
  <c r="D18" i="2"/>
  <c r="D145" i="2"/>
  <c r="C81" i="2"/>
  <c r="J617" i="1"/>
  <c r="H33" i="13"/>
  <c r="C124" i="2"/>
  <c r="G649" i="1"/>
  <c r="J649" i="1" s="1"/>
  <c r="H647" i="1"/>
  <c r="F662" i="1"/>
  <c r="I662" i="1" s="1"/>
  <c r="C21" i="10"/>
  <c r="L211" i="1"/>
  <c r="L257" i="1" s="1"/>
  <c r="L271" i="1" s="1"/>
  <c r="G632" i="1" s="1"/>
  <c r="J632" i="1" s="1"/>
  <c r="K257" i="1"/>
  <c r="K271" i="1" s="1"/>
  <c r="C15" i="10"/>
  <c r="C118" i="2"/>
  <c r="C128" i="2" s="1"/>
  <c r="D6" i="13"/>
  <c r="C6" i="13" s="1"/>
  <c r="G257" i="1"/>
  <c r="G271" i="1" s="1"/>
  <c r="F257" i="1"/>
  <c r="F271" i="1" s="1"/>
  <c r="C115" i="2"/>
  <c r="J641" i="1"/>
  <c r="G624" i="1"/>
  <c r="J624" i="1" s="1"/>
  <c r="K500" i="1"/>
  <c r="G81" i="2"/>
  <c r="C62" i="2"/>
  <c r="C63" i="2" s="1"/>
  <c r="G112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C104" i="2"/>
  <c r="J652" i="1"/>
  <c r="J642" i="1"/>
  <c r="G571" i="1"/>
  <c r="I434" i="1"/>
  <c r="G434" i="1"/>
  <c r="I663" i="1"/>
  <c r="C27" i="10"/>
  <c r="G635" i="1"/>
  <c r="J635" i="1" s="1"/>
  <c r="L545" i="1" l="1"/>
  <c r="C36" i="10"/>
  <c r="K552" i="1"/>
  <c r="J647" i="1"/>
  <c r="G104" i="2"/>
  <c r="D31" i="13"/>
  <c r="C31" i="13" s="1"/>
  <c r="H672" i="1"/>
  <c r="C6" i="10" s="1"/>
  <c r="G667" i="1"/>
  <c r="F660" i="1"/>
  <c r="F664" i="1" s="1"/>
  <c r="F667" i="1" s="1"/>
  <c r="C28" i="10"/>
  <c r="D24" i="10" s="1"/>
  <c r="C145" i="2"/>
  <c r="L408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72" i="1"/>
  <c r="C4" i="10" s="1"/>
  <c r="D22" i="10"/>
  <c r="D23" i="10"/>
  <c r="D27" i="10"/>
  <c r="D10" i="10"/>
  <c r="D20" i="10"/>
  <c r="D18" i="10"/>
  <c r="D26" i="10"/>
  <c r="D15" i="10"/>
  <c r="D13" i="10"/>
  <c r="D17" i="10"/>
  <c r="C30" i="10"/>
  <c r="D25" i="10"/>
  <c r="D11" i="10"/>
  <c r="D21" i="10"/>
  <c r="D12" i="10"/>
  <c r="D16" i="10"/>
  <c r="D19" i="10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<sst xmlns="http://schemas.openxmlformats.org/spreadsheetml/2006/main" count="3956" uniqueCount="914">
  <si>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</si>
  <si>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</si>
  <si>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</si>
  <si>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</si>
  <si>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</si>
  <si>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</si>
  <si>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</si>
  <si>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</si>
  <si>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</si>
  <si>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</si>
  <si>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</si>
  <si>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</si>
  <si>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</si>
  <si>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</si>
  <si>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</si>
  <si>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</si>
  <si>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</si>
  <si>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</si>
  <si>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</si>
  <si>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</si>
  <si>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</si>
  <si>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</si>
  <si>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</si>
  <si>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</si>
  <si>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</si>
  <si>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</si>
  <si>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</si>
  <si>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</si>
  <si>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</si>
  <si>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</si>
  <si>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</si>
  <si>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</si>
  <si>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</si>
  <si>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</si>
  <si>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</si>
  <si>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</si>
  <si>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</si>
  <si>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</si>
  <si>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</si>
  <si>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</si>
  <si>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</si>
  <si>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</si>
  <si>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</si>
  <si>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</si>
  <si>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</si>
  <si>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</si>
  <si>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</si>
  <si>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</si>
  <si>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</si>
  <si>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</si>
  <si>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</si>
  <si>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</si>
  <si>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</si>
  <si>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</si>
  <si>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</si>
  <si>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</si>
  <si>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</si>
  <si>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</si>
  <si>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</si>
  <si>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</si>
  <si>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</si>
  <si>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</si>
  <si>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</si>
  <si>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</si>
  <si>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</si>
  <si>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</si>
  <si>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</si>
  <si>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</si>
  <si>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</si>
  <si>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</si>
  <si>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</si>
  <si>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</si>
  <si>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</si>
  <si>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</si>
  <si>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</si>
  <si>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</si>
  <si>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</si>
  <si>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</si>
  <si>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</si>
  <si>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</si>
  <si>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</si>
  <si>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</si>
  <si>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</si>
  <si>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</si>
  <si>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</si>
  <si>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</si>
  <si>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</si>
  <si>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</si>
  <si>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</si>
  <si>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</si>
  <si>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</si>
  <si>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</si>
  <si>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</si>
  <si>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</si>
  <si>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</si>
  <si>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</si>
  <si>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</si>
  <si>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</si>
  <si>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</si>
  <si>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</si>
  <si>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</si>
  <si>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</si>
  <si>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</si>
  <si>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</si>
  <si>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</si>
  <si>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</si>
  <si>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</si>
  <si>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</si>
  <si>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</si>
  <si>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</si>
  <si>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</si>
  <si>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</si>
  <si>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</si>
  <si>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</si>
  <si>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</si>
  <si>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</si>
  <si>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</si>
  <si>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</si>
  <si>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</si>
  <si>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</si>
  <si>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</si>
  <si>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</si>
  <si>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</si>
  <si>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</si>
  <si>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</si>
  <si>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</si>
  <si>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</si>
  <si>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</si>
  <si>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</si>
  <si>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</si>
  <si>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</si>
  <si>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</si>
  <si>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</si>
  <si>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</si>
  <si>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</si>
  <si>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</si>
  <si>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</si>
  <si>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</si>
  <si>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</si>
  <si>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</si>
  <si>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</si>
  <si>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</si>
  <si>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</si>
  <si>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</si>
  <si>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</si>
  <si>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</si>
  <si>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</si>
  <si>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</si>
  <si>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</si>
  <si>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</si>
  <si>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</si>
  <si>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</si>
  <si>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</si>
  <si>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</si>
  <si>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</si>
  <si>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</si>
  <si>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</si>
  <si>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</si>
  <si>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</si>
  <si>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</si>
  <si>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</si>
  <si>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</si>
  <si>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</si>
  <si>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</si>
  <si>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</si>
  <si>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</si>
  <si>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</si>
  <si>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</si>
  <si>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</si>
  <si>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</si>
  <si>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</si>
  <si>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</si>
  <si>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</si>
  <si>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</si>
  <si>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</si>
  <si>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</si>
  <si>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</si>
  <si>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</si>
  <si>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</si>
  <si>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</si>
  <si>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</si>
  <si>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</si>
  <si>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</si>
  <si>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</si>
  <si>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</si>
  <si>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</si>
  <si>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</si>
  <si>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</si>
  <si>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</si>
  <si>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</si>
  <si>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</si>
  <si>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</si>
  <si>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</si>
  <si>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</si>
  <si>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</si>
  <si>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</si>
  <si>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</si>
  <si>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</si>
  <si>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</si>
  <si>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</si>
  <si>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</si>
  <si>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</si>
  <si>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</si>
  <si>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</si>
  <si>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</si>
  <si>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</si>
  <si>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</si>
  <si>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</si>
  <si>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</si>
  <si>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</si>
  <si>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</si>
  <si>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</si>
  <si>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</si>
  <si>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</si>
  <si>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</si>
  <si>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</si>
  <si>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</si>
  <si>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</si>
  <si>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</si>
  <si>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</si>
  <si>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</si>
  <si>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</si>
  <si>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</si>
  <si>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</si>
  <si>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</si>
  <si>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</si>
  <si>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</si>
  <si>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</si>
  <si>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</si>
  <si>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</si>
  <si>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</si>
  <si>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</si>
  <si>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</si>
  <si>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</si>
  <si>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</si>
  <si>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</si>
  <si>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</si>
  <si>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</si>
  <si>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</si>
  <si>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</si>
  <si>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</si>
  <si>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</si>
  <si>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</si>
  <si>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</si>
  <si>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</si>
  <si>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</si>
  <si>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</si>
  <si>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</si>
  <si>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</si>
  <si>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</si>
  <si>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</si>
  <si>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</si>
  <si>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</si>
  <si>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</si>
  <si>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</si>
  <si>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</si>
  <si>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</si>
  <si>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</si>
  <si>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</si>
  <si>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</si>
  <si>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</si>
  <si>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</si>
  <si>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</si>
  <si>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</si>
  <si>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</si>
  <si>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</si>
  <si>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</si>
  <si>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</si>
  <si>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</si>
  <si>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</si>
  <si>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</si>
  <si>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</si>
  <si>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</si>
  <si>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</si>
  <si>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</si>
  <si>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</si>
  <si>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</si>
  <si>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</si>
  <si>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</si>
  <si>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</si>
  <si>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</si>
  <si>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</si>
  <si>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</si>
  <si>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</si>
  <si>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</si>
  <si>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</si>
  <si>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</si>
  <si>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</si>
  <si>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</si>
  <si>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</si>
  <si>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</si>
  <si>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</si>
  <si>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</si>
  <si>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</si>
  <si>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</si>
  <si>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</si>
  <si>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</si>
  <si>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</si>
  <si>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</si>
  <si>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</si>
  <si>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</si>
  <si>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</si>
  <si>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</si>
  <si>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</si>
  <si>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</si>
  <si>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</si>
  <si>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</si>
  <si>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</si>
  <si>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</si>
  <si>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</si>
  <si>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</si>
  <si>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</si>
  <si>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</si>
  <si>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</si>
  <si>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</si>
  <si>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</si>
  <si>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</si>
  <si>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</si>
  <si>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</si>
  <si>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</si>
  <si>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</si>
  <si>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</si>
  <si>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</si>
  <si>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</si>
  <si>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</si>
  <si>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</si>
  <si>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</si>
  <si>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</si>
  <si>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</si>
  <si>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</si>
  <si>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</si>
  <si>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</si>
  <si>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</si>
  <si>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</si>
  <si>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</si>
  <si>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</si>
  <si>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</si>
  <si>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</si>
  <si>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</si>
  <si>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</si>
  <si>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</si>
  <si>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</si>
  <si>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</si>
  <si>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</si>
  <si>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</si>
  <si>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</si>
  <si>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</si>
  <si>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</si>
  <si>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</si>
  <si>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</si>
  <si>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</si>
  <si>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</si>
  <si>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</si>
  <si>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</si>
  <si>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</si>
  <si>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</si>
  <si>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</si>
  <si>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</si>
  <si>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</si>
  <si>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</si>
  <si>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</si>
  <si>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</si>
  <si>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</si>
  <si>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</si>
  <si>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</si>
  <si>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</si>
  <si>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</si>
  <si>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</si>
  <si>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</si>
  <si>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</si>
  <si>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</si>
  <si>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</si>
  <si>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</si>
  <si>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</si>
  <si>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</si>
  <si>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</si>
  <si>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</si>
  <si>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</si>
  <si>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</si>
  <si>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</si>
  <si>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</si>
  <si>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</si>
  <si>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</si>
  <si>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</si>
  <si>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</si>
  <si>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</si>
  <si>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</si>
  <si>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</si>
  <si>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</si>
  <si>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</si>
  <si>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</si>
  <si>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</si>
  <si>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</si>
  <si>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</si>
  <si>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</si>
  <si>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</si>
  <si>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</si>
  <si>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</si>
  <si>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</si>
  <si>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</si>
  <si>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</si>
  <si>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</si>
  <si>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</si>
  <si>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</si>
  <si>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</si>
  <si>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</si>
  <si>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</si>
  <si>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</si>
  <si>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</si>
  <si>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</si>
  <si>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</si>
  <si>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</si>
  <si>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</si>
  <si>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</si>
  <si>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</si>
  <si>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</si>
  <si>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</si>
  <si>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</si>
  <si>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</si>
  <si>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</si>
  <si>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</si>
  <si>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</si>
  <si>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</si>
  <si>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</si>
  <si>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</si>
  <si>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</si>
  <si>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</si>
  <si>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</si>
  <si>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</si>
  <si>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</si>
  <si>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</si>
  <si>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</si>
  <si>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</si>
  <si>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</si>
  <si>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</si>
  <si>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</si>
  <si>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</si>
  <si>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</si>
  <si>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</si>
  <si>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</si>
  <si>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</si>
  <si>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</si>
  <si>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</si>
  <si>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</si>
  <si>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</si>
  <si>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</si>
  <si>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</si>
  <si>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</si>
  <si>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</si>
  <si>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</si>
  <si>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</si>
  <si>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</si>
  <si>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</si>
  <si>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</si>
  <si>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</si>
  <si>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</si>
  <si>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</si>
  <si>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</si>
  <si>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</si>
  <si>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</si>
  <si>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</si>
  <si>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</si>
  <si>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</si>
  <si>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</si>
  <si>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</si>
  <si>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</si>
  <si>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</si>
  <si>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</si>
  <si>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</si>
  <si>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</si>
  <si>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</si>
  <si>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</si>
  <si>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</si>
  <si>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</si>
  <si>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</si>
  <si>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</si>
  <si>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</si>
  <si>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</si>
  <si>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</si>
  <si>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</si>
  <si>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</si>
  <si>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</si>
  <si>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</si>
  <si>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</si>
  <si>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</si>
  <si>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</si>
  <si>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</si>
  <si>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</si>
  <si>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</si>
  <si>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</si>
  <si>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</si>
  <si>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</si>
  <si>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</si>
  <si>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</si>
  <si>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</si>
  <si>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</si>
  <si>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</si>
  <si>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</si>
  <si>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</si>
  <si>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</si>
  <si>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</si>
  <si>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</si>
  <si>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</si>
  <si>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</si>
  <si>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</si>
  <si>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</si>
  <si>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</si>
  <si>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</si>
  <si>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</si>
  <si>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</si>
  <si>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</si>
  <si>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</si>
  <si>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</si>
  <si>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</si>
  <si>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</si>
  <si>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</si>
  <si>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</si>
  <si>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</si>
  <si>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</si>
  <si>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</si>
  <si>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</si>
  <si>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</si>
  <si>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</si>
  <si>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</si>
  <si>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</si>
  <si>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</si>
  <si>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</si>
  <si>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</si>
  <si>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</si>
  <si>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</si>
  <si>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</si>
  <si>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</si>
  <si>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</si>
  <si>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</si>
  <si>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</si>
  <si>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</si>
  <si>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</si>
  <si>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</si>
  <si>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</si>
  <si>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</si>
  <si>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</si>
  <si>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</si>
  <si>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</si>
  <si>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</si>
  <si>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</si>
  <si>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</si>
  <si>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</si>
  <si>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</si>
  <si>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</si>
  <si>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</si>
  <si>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</si>
  <si>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</si>
  <si>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</si>
  <si>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</si>
  <si>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</si>
  <si>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</si>
  <si>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</si>
  <si>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</si>
  <si>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</si>
  <si>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</si>
  <si>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</si>
  <si>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</si>
  <si>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</si>
  <si>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</si>
  <si>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</si>
  <si>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</si>
  <si>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</si>
  <si>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</si>
  <si>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</si>
  <si>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</si>
  <si>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</si>
  <si>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</si>
  <si>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</si>
  <si>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</si>
  <si>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</si>
  <si>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</si>
  <si>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</si>
  <si>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</si>
  <si>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</si>
  <si>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</si>
  <si>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</si>
  <si>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</si>
  <si>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</si>
  <si>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</si>
  <si>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</si>
  <si>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</si>
  <si>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</si>
  <si>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</si>
  <si>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</si>
  <si>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</si>
  <si>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</si>
  <si>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</si>
  <si>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</si>
  <si>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</si>
  <si>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</si>
  <si>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</si>
  <si>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</si>
  <si>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</si>
  <si>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</si>
  <si>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</si>
  <si>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</si>
  <si>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</si>
  <si>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</si>
  <si>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</si>
  <si>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</si>
  <si>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</si>
  <si>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</si>
  <si>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</si>
  <si>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</si>
  <si>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</si>
  <si>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</si>
  <si>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</si>
  <si>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</si>
  <si>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</si>
  <si>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</si>
  <si>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</si>
  <si>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</si>
  <si>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</si>
  <si>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</si>
  <si>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</si>
  <si>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</si>
  <si>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</si>
  <si>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</si>
  <si>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</si>
  <si>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</si>
  <si>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</si>
  <si>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</si>
  <si>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</si>
  <si>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</si>
  <si>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</si>
  <si>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</si>
  <si>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</si>
  <si>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</si>
  <si>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</si>
  <si>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</si>
  <si>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</si>
  <si>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</si>
  <si>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</si>
  <si>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</si>
  <si>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</si>
  <si>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</si>
  <si>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</si>
  <si>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</si>
  <si>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</si>
  <si>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</si>
  <si>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</si>
  <si>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</si>
  <si>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</si>
  <si>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</si>
  <si>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</si>
  <si>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</si>
  <si>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</si>
  <si>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</si>
  <si>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</si>
  <si>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</si>
  <si>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</si>
  <si>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</si>
  <si>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</si>
  <si>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</si>
  <si>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</si>
  <si>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</si>
  <si>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</si>
  <si>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</si>
  <si>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</si>
  <si>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</si>
  <si>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</si>
  <si>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</si>
  <si>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</si>
  <si>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</si>
  <si>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</si>
  <si>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</si>
  <si>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</si>
  <si>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</si>
  <si>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</si>
  <si>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</si>
  <si>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</si>
  <si>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</si>
  <si>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</si>
  <si>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</si>
  <si>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</si>
  <si>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</si>
  <si>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</si>
  <si>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</si>
  <si>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</si>
  <si>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</si>
  <si>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</si>
  <si>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</si>
  <si>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</si>
  <si>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</si>
  <si>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</si>
  <si>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</si>
  <si>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</si>
  <si>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</si>
  <si>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</si>
  <si>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</si>
  <si>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</si>
  <si>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</si>
  <si>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</si>
  <si>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</si>
  <si>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</si>
  <si>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</si>
  <si>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</si>
  <si>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</si>
  <si>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</si>
  <si>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</si>
  <si>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</si>
  <si>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</si>
  <si>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</si>
  <si>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</si>
  <si>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</si>
  <si>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</si>
  <si>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</si>
  <si>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</si>
  <si>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</si>
  <si>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</si>
  <si>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</si>
  <si>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</si>
  <si>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</si>
  <si>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</si>
  <si>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</si>
  <si>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</si>
  <si>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</si>
  <si>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</si>
  <si>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</si>
  <si>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</si>
  <si>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</si>
  <si>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</si>
  <si>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</si>
  <si>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</si>
  <si>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</si>
  <si>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</si>
  <si>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</si>
  <si>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</si>
  <si>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</si>
  <si>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</si>
  <si>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</si>
  <si>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</si>
  <si>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</si>
  <si>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</si>
  <si>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</si>
  <si>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</si>
  <si>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</si>
  <si>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</si>
  <si>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</si>
  <si>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</si>
  <si>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</si>
  <si>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</si>
  <si>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</si>
  <si>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</si>
  <si>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</si>
  <si>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</si>
  <si>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</si>
  <si>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</si>
  <si>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</si>
  <si>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</si>
  <si>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</si>
  <si>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</si>
  <si>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</si>
  <si>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</si>
  <si>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</si>
  <si>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</si>
  <si>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</si>
  <si>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</si>
  <si>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</si>
  <si>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</si>
  <si>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</si>
  <si>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</si>
  <si>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</si>
  <si>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</si>
  <si>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</si>
  <si>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</si>
  <si>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</si>
  <si>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</si>
  <si>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</si>
  <si>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</si>
  <si>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</si>
  <si>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</si>
  <si>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</si>
  <si>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</si>
  <si>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</si>
  <si>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</si>
  <si>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</si>
  <si>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</si>
  <si>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</si>
  <si>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</si>
  <si>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</si>
  <si>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</si>
  <si>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</si>
  <si>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</si>
  <si>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</si>
  <si>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</si>
  <si>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</si>
  <si>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</si>
  <si>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</si>
  <si>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</si>
  <si>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</si>
  <si>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</si>
  <si>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</si>
  <si>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</si>
  <si>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</si>
  <si>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</si>
  <si>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</si>
  <si>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</si>
  <si>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</si>
  <si>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</si>
  <si>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</si>
  <si>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</si>
  <si>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</si>
  <si>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</si>
  <si>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</si>
  <si>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</si>
  <si>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</si>
  <si>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</si>
  <si>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</si>
  <si>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</si>
  <si>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</si>
  <si>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</si>
  <si>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</si>
  <si>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</si>
  <si>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</si>
  <si>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</si>
  <si>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</si>
  <si>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</si>
  <si>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</si>
  <si>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</si>
  <si>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</si>
  <si>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</si>
  <si>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</si>
  <si>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</si>
  <si>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</si>
  <si>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</si>
  <si>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</si>
  <si>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</si>
  <si>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</si>
  <si>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</si>
  <si>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</si>
  <si>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</si>
  <si>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</si>
  <si>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</si>
  <si>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</si>
  <si>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</si>
  <si>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</si>
  <si>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</si>
  <si>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</si>
  <si>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</si>
  <si>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</si>
  <si>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</si>
  <si>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</si>
  <si>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</si>
  <si>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</si>
  <si>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</si>
  <si>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</si>
  <si>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</si>
  <si>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</si>
  <si>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</si>
  <si>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</si>
  <si>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</si>
  <si>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</si>
  <si>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</si>
  <si>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</si>
  <si>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</si>
  <si>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</si>
  <si>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</si>
  <si>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</si>
  <si>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</si>
  <si>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</si>
  <si>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</si>
  <si>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</si>
  <si>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</si>
  <si>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</si>
  <si>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</si>
  <si>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</si>
  <si>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</si>
  <si>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</si>
  <si>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</si>
  <si>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</si>
  <si>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</si>
  <si>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</si>
  <si>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</si>
  <si>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</si>
  <si>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</si>
  <si>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</si>
  <si>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</si>
  <si>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</si>
  <si>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</si>
  <si>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</si>
  <si>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</si>
  <si>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</si>
  <si>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</si>
  <si>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</si>
  <si>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</si>
  <si>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</si>
  <si>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</si>
  <si>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</si>
  <si>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</si>
  <si>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</si>
  <si>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</si>
  <si>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</si>
  <si>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</si>
  <si>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</si>
  <si>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</si>
  <si>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</si>
  <si>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</si>
  <si>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</si>
  <si>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</si>
  <si>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</si>
  <si>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</si>
  <si>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</si>
  <si>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</si>
  <si>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</si>
  <si>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</si>
  <si>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Chester School District</t>
  </si>
  <si>
    <t>01/12</t>
  </si>
  <si>
    <t>07/18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</si>
</sst>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93</v>
      </c>
      <c r="C2" s="21">
        <v>93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290439.21+78178.42</f>
        <v>368617.63</v>
      </c>
      <c r="G9" s="18">
        <v>76712.59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137782.89000000001</v>
      </c>
      <c r="G12" s="18"/>
      <c r="H12" s="18"/>
      <c r="I12" s="18"/>
      <c r="J12" s="67">
        <f>SUM(I441)</f>
        <v>261131.88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2696.74</v>
      </c>
      <c r="H13" s="18">
        <v>76748.19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512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506912.52</v>
      </c>
      <c r="G19" s="41">
        <f>SUM(G9:G18)</f>
        <v>79409.33</v>
      </c>
      <c r="H19" s="41">
        <f>SUM(H9:H18)</f>
        <v>76748.19</v>
      </c>
      <c r="I19" s="41">
        <f>SUM(I9:I18)</f>
        <v>0</v>
      </c>
      <c r="J19" s="41">
        <f>SUM(J9:J18)</f>
        <v>261131.88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54725.04</v>
      </c>
      <c r="H22" s="18">
        <v>76748.19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80001.39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10374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90375.39</v>
      </c>
      <c r="G32" s="41">
        <f>SUM(G22:G31)</f>
        <v>54725.04</v>
      </c>
      <c r="H32" s="41">
        <f>SUM(H22:H31)</f>
        <v>76748.19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14869+9815.29</f>
        <v>24684.29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194883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261131.88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52525.97+138128.16</f>
        <v>190654.13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416537.13</v>
      </c>
      <c r="G51" s="41">
        <f>SUM(G35:G50)</f>
        <v>24684.29</v>
      </c>
      <c r="H51" s="41">
        <f>SUM(H35:H50)</f>
        <v>0</v>
      </c>
      <c r="I51" s="41">
        <f>SUM(I35:I50)</f>
        <v>0</v>
      </c>
      <c r="J51" s="41">
        <f>SUM(J35:J50)</f>
        <v>261131.88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506912.52</v>
      </c>
      <c r="G52" s="41">
        <f>G51+G32</f>
        <v>79409.33</v>
      </c>
      <c r="H52" s="41">
        <f>H51+H32</f>
        <v>76748.19</v>
      </c>
      <c r="I52" s="41">
        <f>I51+I32</f>
        <v>0</v>
      </c>
      <c r="J52" s="41">
        <f>J51+J32</f>
        <v>261131.88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7378650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7378650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11016.33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11016.33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292.88</v>
      </c>
      <c r="G96" s="18">
        <v>83.01</v>
      </c>
      <c r="H96" s="18"/>
      <c r="I96" s="18"/>
      <c r="J96" s="18">
        <v>2577.9899999999998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155935.23000000001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9781.9699999999993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10074.849999999999</v>
      </c>
      <c r="G111" s="41">
        <f>SUM(G96:G110)</f>
        <v>156018.24000000002</v>
      </c>
      <c r="H111" s="41">
        <f>SUM(H96:H110)</f>
        <v>0</v>
      </c>
      <c r="I111" s="41">
        <f>SUM(I96:I110)</f>
        <v>0</v>
      </c>
      <c r="J111" s="41">
        <f>SUM(J96:J110)</f>
        <v>2577.9899999999998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7399741.1799999997</v>
      </c>
      <c r="G112" s="41">
        <f>G60+G111</f>
        <v>156018.24000000002</v>
      </c>
      <c r="H112" s="41">
        <f>H60+H79+H94+H111</f>
        <v>0</v>
      </c>
      <c r="I112" s="41">
        <f>I60+I111</f>
        <v>0</v>
      </c>
      <c r="J112" s="41">
        <f>J60+J111</f>
        <v>2577.9899999999998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2804757.41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1084371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3889128.41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70323.490000000005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2454.1999999999998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160323.49</v>
      </c>
      <c r="G136" s="41">
        <f>SUM(G123:G135)</f>
        <v>2454.1999999999998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4049451.9000000004</v>
      </c>
      <c r="G140" s="41">
        <f>G121+SUM(G136:G137)</f>
        <v>2454.1999999999998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36454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3500.29+35780.73</f>
        <v>39281.020000000004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23587.07</f>
        <v>23587.07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33821.17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178628.96</f>
        <v>178628.96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91832.53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91832.53</v>
      </c>
      <c r="G162" s="41">
        <f>SUM(G150:G161)</f>
        <v>33821.17</v>
      </c>
      <c r="H162" s="41">
        <f>SUM(H150:H161)</f>
        <v>277951.05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91832.53</v>
      </c>
      <c r="G169" s="41">
        <f>G147+G162+SUM(G163:G168)</f>
        <v>33821.17</v>
      </c>
      <c r="H169" s="41">
        <f>H147+H162+SUM(H163:H168)</f>
        <v>277951.05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6309.66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6309.66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6309.66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11547335.27</v>
      </c>
      <c r="G193" s="47">
        <f>G112+G140+G169+G192</f>
        <v>192293.61000000004</v>
      </c>
      <c r="H193" s="47">
        <f>H112+H140+H169+H192</f>
        <v>277951.05</v>
      </c>
      <c r="I193" s="47">
        <f>I112+I140+I169+I192</f>
        <v>0</v>
      </c>
      <c r="J193" s="47">
        <f>J112+J140+J192</f>
        <v>27577.989999999998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1684902.43+22939.64+8297.83+73160.39+8341.94+5870</f>
        <v>1803512.2299999997</v>
      </c>
      <c r="G197" s="18">
        <f>428968.43+20849.29+2069+6409+131369.11+223635.13+3019.71+6845+8337.39</f>
        <v>831502.05999999994</v>
      </c>
      <c r="H197" s="18">
        <v>2552.0300000000002</v>
      </c>
      <c r="I197" s="18">
        <f>29071.64+26725.51+1768.07+22973.65+2097.4+1460</f>
        <v>84096.26999999999</v>
      </c>
      <c r="J197" s="18">
        <f>26.9+345+11469.31+12401.76</f>
        <v>24242.97</v>
      </c>
      <c r="K197" s="18"/>
      <c r="L197" s="19">
        <f>SUM(F197:K197)</f>
        <v>2745905.5599999996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297029.62+3000+315291.04+20013</f>
        <v>635333.65999999992</v>
      </c>
      <c r="G198" s="18">
        <f>121562.77+3452.45+351+2510+47695.28-348.16+44653.72-642.34+4005+4036.09</f>
        <v>227275.81</v>
      </c>
      <c r="H198" s="18">
        <f>30915.18</f>
        <v>30915.18</v>
      </c>
      <c r="I198" s="18">
        <f>517.35+128.17+339+571.58+87.75+849</f>
        <v>2492.85</v>
      </c>
      <c r="J198" s="18"/>
      <c r="K198" s="18"/>
      <c r="L198" s="19">
        <f>SUM(F198:K198)</f>
        <v>896017.5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19526.85+28579.53</f>
        <v>48106.38</v>
      </c>
      <c r="G200" s="18">
        <f>3882.22+5881.45</f>
        <v>9763.67</v>
      </c>
      <c r="H200" s="18">
        <v>5988</v>
      </c>
      <c r="I200" s="18">
        <v>1475.22</v>
      </c>
      <c r="J200" s="18">
        <v>2814.46</v>
      </c>
      <c r="K200" s="18"/>
      <c r="L200" s="19">
        <f>SUM(F200:K200)</f>
        <v>68147.73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65433.86+3115+39286+24142.76+39286+93526</f>
        <v>264789.62</v>
      </c>
      <c r="G202" s="18">
        <f>18839.6+922+57.06+106.94+4573.16+8248.8+364+421+406.56+461+87+203.51+4852.11+5562.96+443+5677.57+461+49+150+2861.25+5562.96+169+248+14033.66+461+107+346+6741.75+13243.14+339+570+1</f>
        <v>96570.03</v>
      </c>
      <c r="H202" s="18">
        <f>696.18+352.69+25385+8823.75+3077.75+80462.84</f>
        <v>118798.20999999999</v>
      </c>
      <c r="I202" s="18">
        <f>402.19+3446+3484.76+284+75.87+1429.95+74.74+185.67+519.4+36.91+597+216.05+321.75</f>
        <v>11074.289999999999</v>
      </c>
      <c r="J202" s="18">
        <f>119+1928.39</f>
        <v>2047.39</v>
      </c>
      <c r="K202" s="18"/>
      <c r="L202" s="19">
        <f t="shared" ref="L202:L208" si="0">SUM(F202:K202)</f>
        <v>493279.54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6491.4+8012.5+37930+53595+29182.62+1288</f>
        <v>136499.51999999999</v>
      </c>
      <c r="G203" s="18">
        <f>1450.81+2743.98+6570+49+1843.3+2981.6+346+2901.46+5370.87+169+306+20562+876.36+65.84+200.96+5995.37+8825.27+169+198+524.1</f>
        <v>62148.920000000006</v>
      </c>
      <c r="H203" s="18">
        <f>5875+23898.5+400+52188.32+7492.46</f>
        <v>89854.280000000013</v>
      </c>
      <c r="I203" s="18">
        <f>400.88+402.5+4604.28+1551.48+1365.32+375.38+6711.82</f>
        <v>15411.659999999998</v>
      </c>
      <c r="J203" s="18">
        <v>62486.58</v>
      </c>
      <c r="K203" s="18"/>
      <c r="L203" s="19">
        <f t="shared" si="0"/>
        <v>366400.96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9400+1000+640+188120.39+7289+78409+30053.54</f>
        <v>314911.93</v>
      </c>
      <c r="G204" s="18">
        <f>919.54+43.08+28621.44+1462.95+167+688+14594.29+10082.03+2013.45+556+750+19897.65+1096.94+60+410+7972.66+3376.82+11102.78+324+677+482.68</f>
        <v>105298.31</v>
      </c>
      <c r="H204" s="18">
        <f>1200+1533.89+1385.46+12625+1334.89+1130.62+8435.09+847.63+30.5+1374.72+943.21</f>
        <v>30841.01</v>
      </c>
      <c r="I204" s="18">
        <f>3200+214.28+203.63</f>
        <v>3617.9100000000003</v>
      </c>
      <c r="J204" s="18">
        <f>3849.58+2051.85</f>
        <v>5901.43</v>
      </c>
      <c r="K204" s="18">
        <f>3912.18+1947.75+3455.47+1982.5+2127.29+125</f>
        <v>13550.189999999999</v>
      </c>
      <c r="L204" s="19">
        <f t="shared" si="0"/>
        <v>474120.77999999997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94609+72400+2200+64813.61</f>
        <v>234022.61</v>
      </c>
      <c r="G205" s="18">
        <f>33845.05+2002.43+120+551.96+17380.81+7506.34+23648.3+678+1430+1572.84</f>
        <v>88735.73</v>
      </c>
      <c r="H205" s="18">
        <f>2245.45+12429.21+2362.01+1049.2</f>
        <v>18085.87</v>
      </c>
      <c r="I205" s="18">
        <f>13850.5+10787.35</f>
        <v>24637.85</v>
      </c>
      <c r="J205" s="18">
        <v>6470.5</v>
      </c>
      <c r="K205" s="18">
        <f>750+2003.38</f>
        <v>2753.38</v>
      </c>
      <c r="L205" s="19">
        <f t="shared" si="0"/>
        <v>374705.93999999994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148509.98+1305.16</f>
        <v>149815.14000000001</v>
      </c>
      <c r="G207" s="18">
        <f>26391.36+2012.28+60+246.94+10826.33+15291.29+847+953</f>
        <v>56628.2</v>
      </c>
      <c r="H207" s="18">
        <f>1100+5336.58+10934.5+2240.9+75493.41+10755.49+6716.5+20560.68+24842</f>
        <v>157980.06000000003</v>
      </c>
      <c r="I207" s="18">
        <f>21689.33+71765.84+74086.31+421.45+196.9</f>
        <v>168159.83</v>
      </c>
      <c r="J207" s="18">
        <v>3382</v>
      </c>
      <c r="K207" s="18"/>
      <c r="L207" s="19">
        <f t="shared" si="0"/>
        <v>535965.23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354616.46</v>
      </c>
      <c r="I208" s="18"/>
      <c r="J208" s="18"/>
      <c r="K208" s="18"/>
      <c r="L208" s="19">
        <f t="shared" si="0"/>
        <v>354616.46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3586991.09</v>
      </c>
      <c r="G211" s="41">
        <f t="shared" si="1"/>
        <v>1477922.7299999997</v>
      </c>
      <c r="H211" s="41">
        <f t="shared" si="1"/>
        <v>809631.10000000009</v>
      </c>
      <c r="I211" s="41">
        <f t="shared" si="1"/>
        <v>310965.88</v>
      </c>
      <c r="J211" s="41">
        <f t="shared" si="1"/>
        <v>107345.32999999999</v>
      </c>
      <c r="K211" s="41">
        <f t="shared" si="1"/>
        <v>16303.57</v>
      </c>
      <c r="L211" s="41">
        <f t="shared" si="1"/>
        <v>6309159.7000000002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3746442.81</v>
      </c>
      <c r="I233" s="18"/>
      <c r="J233" s="18"/>
      <c r="K233" s="18"/>
      <c r="L233" s="19">
        <f>SUM(F233:K233)</f>
        <v>3746442.81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128337.12</v>
      </c>
      <c r="G234" s="18"/>
      <c r="H234" s="18">
        <f>422780.56+196307.33</f>
        <v>619087.89</v>
      </c>
      <c r="I234" s="18"/>
      <c r="J234" s="18"/>
      <c r="K234" s="18"/>
      <c r="L234" s="19">
        <f>SUM(F234:K234)</f>
        <v>747425.01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12809.92</v>
      </c>
      <c r="I238" s="18"/>
      <c r="J238" s="18">
        <v>382.2</v>
      </c>
      <c r="K238" s="18"/>
      <c r="L238" s="19">
        <f t="shared" ref="L238:L244" si="4">SUM(F238:K238)</f>
        <v>13192.12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13565.03</v>
      </c>
      <c r="I240" s="18"/>
      <c r="J240" s="18"/>
      <c r="K240" s="18"/>
      <c r="L240" s="19">
        <f t="shared" si="4"/>
        <v>13565.03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210272.44</v>
      </c>
      <c r="I244" s="18"/>
      <c r="J244" s="18"/>
      <c r="K244" s="18"/>
      <c r="L244" s="19">
        <f t="shared" si="4"/>
        <v>210272.44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128337.12</v>
      </c>
      <c r="G247" s="41">
        <f t="shared" si="5"/>
        <v>0</v>
      </c>
      <c r="H247" s="41">
        <f t="shared" si="5"/>
        <v>4602178.0900000008</v>
      </c>
      <c r="I247" s="41">
        <f t="shared" si="5"/>
        <v>0</v>
      </c>
      <c r="J247" s="41">
        <f t="shared" si="5"/>
        <v>382.2</v>
      </c>
      <c r="K247" s="41">
        <f t="shared" si="5"/>
        <v>0</v>
      </c>
      <c r="L247" s="41">
        <f t="shared" si="5"/>
        <v>4730897.4100000011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3715328.21</v>
      </c>
      <c r="G257" s="41">
        <f t="shared" si="8"/>
        <v>1477922.7299999997</v>
      </c>
      <c r="H257" s="41">
        <f t="shared" si="8"/>
        <v>5411809.1900000013</v>
      </c>
      <c r="I257" s="41">
        <f t="shared" si="8"/>
        <v>310965.88</v>
      </c>
      <c r="J257" s="41">
        <f t="shared" si="8"/>
        <v>107727.52999999998</v>
      </c>
      <c r="K257" s="41">
        <f t="shared" si="8"/>
        <v>16303.57</v>
      </c>
      <c r="L257" s="41">
        <f t="shared" si="8"/>
        <v>11040057.110000001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310000</v>
      </c>
      <c r="L260" s="19">
        <f>SUM(F260:K260)</f>
        <v>310000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34150</v>
      </c>
      <c r="L261" s="19">
        <f>SUM(F261:K261)</f>
        <v>34150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369150</v>
      </c>
      <c r="L270" s="41">
        <f t="shared" si="9"/>
        <v>369150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3715328.21</v>
      </c>
      <c r="G271" s="42">
        <f t="shared" si="11"/>
        <v>1477922.7299999997</v>
      </c>
      <c r="H271" s="42">
        <f t="shared" si="11"/>
        <v>5411809.1900000013</v>
      </c>
      <c r="I271" s="42">
        <f t="shared" si="11"/>
        <v>310965.88</v>
      </c>
      <c r="J271" s="42">
        <f t="shared" si="11"/>
        <v>107727.52999999998</v>
      </c>
      <c r="K271" s="42">
        <f t="shared" si="11"/>
        <v>385453.57</v>
      </c>
      <c r="L271" s="42">
        <f t="shared" si="11"/>
        <v>11409207.110000001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2125.28+155.4+28527.96+126.17</f>
        <v>30934.809999999998</v>
      </c>
      <c r="G276" s="18">
        <f>174.45+25.21+2152.77+8.26+11.85+1999.57+128+167.65</f>
        <v>4667.7599999999993</v>
      </c>
      <c r="H276" s="18">
        <f>1678+142.7</f>
        <v>1820.7</v>
      </c>
      <c r="I276" s="18">
        <f>119.95+787.8</f>
        <v>907.75</v>
      </c>
      <c r="J276" s="18">
        <v>36454</v>
      </c>
      <c r="K276" s="18">
        <v>50</v>
      </c>
      <c r="L276" s="19">
        <f>SUM(F276:K276)</f>
        <v>74835.01999999999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900.1+42609.13+4608+1533+19586.97</f>
        <v>69237.2</v>
      </c>
      <c r="G277" s="18">
        <f>348.16</f>
        <v>348.16</v>
      </c>
      <c r="H277" s="18">
        <f>750+66938.5+15000+27000+7216.97+4000</f>
        <v>120905.47</v>
      </c>
      <c r="I277" s="18">
        <f>297.58+600+901.05+600+689.58</f>
        <v>3088.21</v>
      </c>
      <c r="J277" s="18">
        <f>6920+250.49+42.25+2046.35+277.9</f>
        <v>9536.99</v>
      </c>
      <c r="K277" s="18"/>
      <c r="L277" s="19">
        <f>SUM(F277:K277)</f>
        <v>203116.03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100172.01</v>
      </c>
      <c r="G290" s="42">
        <f t="shared" si="13"/>
        <v>5015.9199999999992</v>
      </c>
      <c r="H290" s="42">
        <f t="shared" si="13"/>
        <v>122726.17</v>
      </c>
      <c r="I290" s="42">
        <f t="shared" si="13"/>
        <v>3995.96</v>
      </c>
      <c r="J290" s="42">
        <f t="shared" si="13"/>
        <v>45990.99</v>
      </c>
      <c r="K290" s="42">
        <f t="shared" si="13"/>
        <v>50</v>
      </c>
      <c r="L290" s="41">
        <f t="shared" si="13"/>
        <v>277951.05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100172.01</v>
      </c>
      <c r="G338" s="41">
        <f t="shared" si="20"/>
        <v>5015.9199999999992</v>
      </c>
      <c r="H338" s="41">
        <f t="shared" si="20"/>
        <v>122726.17</v>
      </c>
      <c r="I338" s="41">
        <f t="shared" si="20"/>
        <v>3995.96</v>
      </c>
      <c r="J338" s="41">
        <f t="shared" si="20"/>
        <v>45990.99</v>
      </c>
      <c r="K338" s="41">
        <f t="shared" si="20"/>
        <v>50</v>
      </c>
      <c r="L338" s="41">
        <f t="shared" si="20"/>
        <v>277951.05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100172.01</v>
      </c>
      <c r="G352" s="41">
        <f>G338</f>
        <v>5015.9199999999992</v>
      </c>
      <c r="H352" s="41">
        <f>H338</f>
        <v>122726.17</v>
      </c>
      <c r="I352" s="41">
        <f>I338</f>
        <v>3995.96</v>
      </c>
      <c r="J352" s="41">
        <f>J338</f>
        <v>45990.99</v>
      </c>
      <c r="K352" s="47">
        <f>K338+K351</f>
        <v>50</v>
      </c>
      <c r="L352" s="41">
        <f>L338+L351</f>
        <v>277951.05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66494.44</f>
        <v>66494.44</v>
      </c>
      <c r="G358" s="18">
        <f>17922.74+778+42+128+4673.76+3918.06+553</f>
        <v>28015.56</v>
      </c>
      <c r="H358" s="18">
        <f>698.49+2465.69</f>
        <v>3164.1800000000003</v>
      </c>
      <c r="I358" s="18">
        <f>3822.81+74282.06+63.75+1466.92</f>
        <v>79635.539999999994</v>
      </c>
      <c r="J358" s="18">
        <v>5168.6000000000004</v>
      </c>
      <c r="K358" s="18"/>
      <c r="L358" s="13">
        <f>SUM(F358:K358)</f>
        <v>182478.31999999998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66494.44</v>
      </c>
      <c r="G362" s="47">
        <f t="shared" si="22"/>
        <v>28015.56</v>
      </c>
      <c r="H362" s="47">
        <f t="shared" si="22"/>
        <v>3164.1800000000003</v>
      </c>
      <c r="I362" s="47">
        <f t="shared" si="22"/>
        <v>79635.539999999994</v>
      </c>
      <c r="J362" s="47">
        <f t="shared" si="22"/>
        <v>5168.6000000000004</v>
      </c>
      <c r="K362" s="47">
        <f t="shared" si="22"/>
        <v>0</v>
      </c>
      <c r="L362" s="47">
        <f t="shared" si="22"/>
        <v>182478.31999999998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74282.06</v>
      </c>
      <c r="G367" s="18"/>
      <c r="H367" s="18"/>
      <c r="I367" s="56">
        <f>SUM(F367:H367)</f>
        <v>74282.06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5353.48</v>
      </c>
      <c r="G368" s="63"/>
      <c r="H368" s="63"/>
      <c r="I368" s="56">
        <f>SUM(F368:H368)</f>
        <v>5353.48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79635.539999999994</v>
      </c>
      <c r="G369" s="47">
        <f>SUM(G367:G368)</f>
        <v>0</v>
      </c>
      <c r="H369" s="47">
        <f>SUM(H367:H368)</f>
        <v>0</v>
      </c>
      <c r="I369" s="47">
        <f>SUM(I367:I368)</f>
        <v>79635.539999999994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f>25000</f>
        <v>25000</v>
      </c>
      <c r="H396" s="18">
        <v>1691.97</v>
      </c>
      <c r="I396" s="18"/>
      <c r="J396" s="24" t="s">
        <v>289</v>
      </c>
      <c r="K396" s="24" t="s">
        <v>289</v>
      </c>
      <c r="L396" s="56">
        <f t="shared" si="26"/>
        <v>26691.97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886.02</v>
      </c>
      <c r="I397" s="18"/>
      <c r="J397" s="24" t="s">
        <v>289</v>
      </c>
      <c r="K397" s="24" t="s">
        <v>289</v>
      </c>
      <c r="L397" s="56">
        <f t="shared" si="26"/>
        <v>886.02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2577.9899999999998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27577.99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2577.9899999999998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27577.99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261131.88</f>
        <v>261131.88</v>
      </c>
      <c r="H441" s="18">
        <v>0</v>
      </c>
      <c r="I441" s="56">
        <f t="shared" si="33"/>
        <v>261131.88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261131.88</v>
      </c>
      <c r="H446" s="13">
        <f>SUM(H439:H445)</f>
        <v>0</v>
      </c>
      <c r="I446" s="13">
        <f>SUM(I439:I445)</f>
        <v>261131.88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261131.88</v>
      </c>
      <c r="H459" s="18">
        <v>0</v>
      </c>
      <c r="I459" s="56">
        <f t="shared" si="34"/>
        <v>261131.88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261131.88</v>
      </c>
      <c r="H460" s="83">
        <f>SUM(H454:H459)</f>
        <v>0</v>
      </c>
      <c r="I460" s="83">
        <f>SUM(I454:I459)</f>
        <v>261131.88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261131.88</v>
      </c>
      <c r="H461" s="42">
        <f>H452+H460</f>
        <v>0</v>
      </c>
      <c r="I461" s="42">
        <f>I452+I460</f>
        <v>261131.88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268178.26+10230.71</f>
        <v>278408.97000000003</v>
      </c>
      <c r="G465" s="18">
        <v>14869</v>
      </c>
      <c r="H465" s="18">
        <v>0</v>
      </c>
      <c r="I465" s="18"/>
      <c r="J465" s="18">
        <f>208553.89+25000</f>
        <v>233553.89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11547335.27</v>
      </c>
      <c r="G468" s="18">
        <v>192293.61</v>
      </c>
      <c r="H468" s="18">
        <v>277951.05</v>
      </c>
      <c r="I468" s="18"/>
      <c r="J468" s="18">
        <f>25000+2577.99</f>
        <v>27577.989999999998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11547335.27</v>
      </c>
      <c r="G470" s="53">
        <f>SUM(G468:G469)</f>
        <v>192293.61</v>
      </c>
      <c r="H470" s="53">
        <f>SUM(H468:H469)</f>
        <v>277951.05</v>
      </c>
      <c r="I470" s="53">
        <f>SUM(I468:I469)</f>
        <v>0</v>
      </c>
      <c r="J470" s="53">
        <f>SUM(J468:J469)</f>
        <v>27577.989999999998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11409207.109999999</v>
      </c>
      <c r="G472" s="18">
        <v>182478.32</v>
      </c>
      <c r="H472" s="18">
        <v>277951.05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11409207.109999999</v>
      </c>
      <c r="G474" s="53">
        <f>SUM(G472:G473)</f>
        <v>182478.32</v>
      </c>
      <c r="H474" s="53">
        <f>SUM(H472:H473)</f>
        <v>277951.05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416537.13000000082</v>
      </c>
      <c r="G476" s="53">
        <f>(G465+G470)- G474</f>
        <v>24684.289999999979</v>
      </c>
      <c r="H476" s="53">
        <f>(H465+H470)- H474</f>
        <v>0</v>
      </c>
      <c r="I476" s="53">
        <f>(I465+I470)- I474</f>
        <v>0</v>
      </c>
      <c r="J476" s="53">
        <f>(J465+J470)- J474</f>
        <v>261131.88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2076000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1445000</v>
      </c>
      <c r="G495" s="18"/>
      <c r="H495" s="18"/>
      <c r="I495" s="18"/>
      <c r="J495" s="18"/>
      <c r="K495" s="53">
        <f>SUM(F495:J495)</f>
        <v>1445000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310000</v>
      </c>
      <c r="G497" s="18"/>
      <c r="H497" s="18"/>
      <c r="I497" s="18"/>
      <c r="J497" s="18"/>
      <c r="K497" s="53">
        <f t="shared" si="35"/>
        <v>310000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1445000-310000</f>
        <v>1135000</v>
      </c>
      <c r="G498" s="204"/>
      <c r="H498" s="204"/>
      <c r="I498" s="204"/>
      <c r="J498" s="204"/>
      <c r="K498" s="205">
        <f t="shared" si="35"/>
        <v>1135000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98875-34150</f>
        <v>64725</v>
      </c>
      <c r="G499" s="18"/>
      <c r="H499" s="18"/>
      <c r="I499" s="18"/>
      <c r="J499" s="18"/>
      <c r="K499" s="53">
        <f t="shared" si="35"/>
        <v>64725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1199725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1199725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/>
      <c r="H501" s="204"/>
      <c r="I501" s="204"/>
      <c r="J501" s="204"/>
      <c r="K501" s="205">
        <f t="shared" si="35"/>
        <v>290000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20700</v>
      </c>
      <c r="G502" s="18"/>
      <c r="H502" s="18"/>
      <c r="I502" s="18"/>
      <c r="J502" s="18"/>
      <c r="K502" s="53">
        <f t="shared" si="35"/>
        <v>20700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310700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310700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704570.86</v>
      </c>
      <c r="G521" s="18">
        <v>227623.97</v>
      </c>
      <c r="H521" s="18">
        <v>151820.65</v>
      </c>
      <c r="I521" s="18">
        <v>5581.06</v>
      </c>
      <c r="J521" s="18">
        <v>9536.99</v>
      </c>
      <c r="K521" s="18">
        <v>0</v>
      </c>
      <c r="L521" s="88">
        <f>SUM(F521:K521)</f>
        <v>1099133.53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128337.12</v>
      </c>
      <c r="G523" s="18"/>
      <c r="H523" s="18">
        <v>619087.89</v>
      </c>
      <c r="I523" s="18">
        <v>0</v>
      </c>
      <c r="J523" s="18"/>
      <c r="K523" s="18"/>
      <c r="L523" s="88">
        <f>SUM(F523:K523)</f>
        <v>747425.01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832907.98</v>
      </c>
      <c r="G524" s="108">
        <f t="shared" ref="G524:L524" si="36">SUM(G521:G523)</f>
        <v>227623.97</v>
      </c>
      <c r="H524" s="108">
        <f t="shared" si="36"/>
        <v>770908.54</v>
      </c>
      <c r="I524" s="108">
        <f t="shared" si="36"/>
        <v>5581.06</v>
      </c>
      <c r="J524" s="108">
        <f t="shared" si="36"/>
        <v>9536.99</v>
      </c>
      <c r="K524" s="108">
        <f t="shared" si="36"/>
        <v>0</v>
      </c>
      <c r="L524" s="89">
        <f t="shared" si="36"/>
        <v>1846558.54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39286+93526</f>
        <v>132812</v>
      </c>
      <c r="G526" s="18">
        <f>5677.57+461+49+150+2861.25+5562.96+169+248+14033.66+461+107+346+6741.75+13243.14+339+570</f>
        <v>51020.33</v>
      </c>
      <c r="H526" s="18">
        <f>25385+8823.75+3078.75+80462.84</f>
        <v>117750.34</v>
      </c>
      <c r="I526" s="18">
        <f>75.87+1429.95+74.74+185.67+519.4+36.91+597+119+216.05+321.75</f>
        <v>3576.34</v>
      </c>
      <c r="J526" s="18">
        <v>1928.39</v>
      </c>
      <c r="K526" s="18"/>
      <c r="L526" s="88">
        <f>SUM(F526:K526)</f>
        <v>307087.40000000008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12809.92</v>
      </c>
      <c r="I528" s="18"/>
      <c r="J528" s="18">
        <v>382.2</v>
      </c>
      <c r="K528" s="18"/>
      <c r="L528" s="88">
        <f>SUM(F528:K528)</f>
        <v>13192.12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132812</v>
      </c>
      <c r="G529" s="89">
        <f t="shared" ref="G529:L529" si="37">SUM(G526:G528)</f>
        <v>51020.33</v>
      </c>
      <c r="H529" s="89">
        <f t="shared" si="37"/>
        <v>130560.26</v>
      </c>
      <c r="I529" s="89">
        <f t="shared" si="37"/>
        <v>3576.34</v>
      </c>
      <c r="J529" s="89">
        <f t="shared" si="37"/>
        <v>2310.59</v>
      </c>
      <c r="K529" s="89">
        <f t="shared" si="37"/>
        <v>0</v>
      </c>
      <c r="L529" s="89">
        <f t="shared" si="37"/>
        <v>320279.52000000008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78409+30053.54-15681.8</f>
        <v>92780.74</v>
      </c>
      <c r="G531" s="18">
        <f>19897.65+1096.94+60+410+7972.66+3376.82+11102.78+324+677+482.68-3420.2</f>
        <v>41980.33</v>
      </c>
      <c r="H531" s="18">
        <f>943.21</f>
        <v>943.21</v>
      </c>
      <c r="I531" s="18">
        <v>203.63</v>
      </c>
      <c r="J531" s="18">
        <f>2051.85</f>
        <v>2051.85</v>
      </c>
      <c r="K531" s="18">
        <v>125</v>
      </c>
      <c r="L531" s="88">
        <f>SUM(F531:K531)</f>
        <v>138084.76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15681.8</v>
      </c>
      <c r="G533" s="18">
        <f>1199.66+2220.54</f>
        <v>3420.2</v>
      </c>
      <c r="H533" s="18"/>
      <c r="I533" s="18"/>
      <c r="J533" s="18"/>
      <c r="K533" s="18"/>
      <c r="L533" s="88">
        <f>SUM(F533:K533)</f>
        <v>19102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108462.54000000001</v>
      </c>
      <c r="G534" s="89">
        <f t="shared" ref="G534:L534" si="38">SUM(G531:G533)</f>
        <v>45400.53</v>
      </c>
      <c r="H534" s="89">
        <f t="shared" si="38"/>
        <v>943.21</v>
      </c>
      <c r="I534" s="89">
        <f t="shared" si="38"/>
        <v>203.63</v>
      </c>
      <c r="J534" s="89">
        <f t="shared" si="38"/>
        <v>2051.85</v>
      </c>
      <c r="K534" s="89">
        <f t="shared" si="38"/>
        <v>125</v>
      </c>
      <c r="L534" s="89">
        <f t="shared" si="38"/>
        <v>157186.76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13565.03</v>
      </c>
      <c r="I538" s="18"/>
      <c r="J538" s="18"/>
      <c r="K538" s="18"/>
      <c r="L538" s="88">
        <f>SUM(F538:K538)</f>
        <v>13565.03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13565.03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13565.03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170787.98-48691.06</f>
        <v>122096.92000000001</v>
      </c>
      <c r="I541" s="18"/>
      <c r="J541" s="18"/>
      <c r="K541" s="18"/>
      <c r="L541" s="88">
        <f>SUM(F541:K541)</f>
        <v>122096.92000000001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48691.06</v>
      </c>
      <c r="I543" s="18"/>
      <c r="J543" s="18"/>
      <c r="K543" s="18"/>
      <c r="L543" s="88">
        <f>SUM(F543:K543)</f>
        <v>48691.06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170787.98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170787.98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1074182.52</v>
      </c>
      <c r="G545" s="89">
        <f t="shared" ref="G545:L545" si="41">G524+G529+G534+G539+G544</f>
        <v>324044.82999999996</v>
      </c>
      <c r="H545" s="89">
        <f t="shared" si="41"/>
        <v>1086765.02</v>
      </c>
      <c r="I545" s="89">
        <f t="shared" si="41"/>
        <v>9361.0300000000007</v>
      </c>
      <c r="J545" s="89">
        <f t="shared" si="41"/>
        <v>13899.43</v>
      </c>
      <c r="K545" s="89">
        <f t="shared" si="41"/>
        <v>125</v>
      </c>
      <c r="L545" s="89">
        <f t="shared" si="41"/>
        <v>2508377.83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1099133.53</v>
      </c>
      <c r="G549" s="87">
        <f>L526</f>
        <v>307087.40000000008</v>
      </c>
      <c r="H549" s="87">
        <f>L531</f>
        <v>138084.76</v>
      </c>
      <c r="I549" s="87">
        <f>L536</f>
        <v>0</v>
      </c>
      <c r="J549" s="87">
        <f>L541</f>
        <v>122096.92000000001</v>
      </c>
      <c r="K549" s="87">
        <f>SUM(F549:J549)</f>
        <v>1666402.61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747425.01</v>
      </c>
      <c r="G551" s="87">
        <f>L528</f>
        <v>13192.12</v>
      </c>
      <c r="H551" s="87">
        <f>L533</f>
        <v>19102</v>
      </c>
      <c r="I551" s="87">
        <f>L538</f>
        <v>13565.03</v>
      </c>
      <c r="J551" s="87">
        <f>L543</f>
        <v>48691.06</v>
      </c>
      <c r="K551" s="87">
        <f>SUM(F551:J551)</f>
        <v>841975.22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1846558.54</v>
      </c>
      <c r="G552" s="89">
        <f t="shared" si="42"/>
        <v>320279.52000000008</v>
      </c>
      <c r="H552" s="89">
        <f t="shared" si="42"/>
        <v>157186.76</v>
      </c>
      <c r="I552" s="89">
        <f t="shared" si="42"/>
        <v>13565.03</v>
      </c>
      <c r="J552" s="89">
        <f t="shared" si="42"/>
        <v>170787.98</v>
      </c>
      <c r="K552" s="89">
        <f t="shared" si="42"/>
        <v>2508377.83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3746442.81</f>
        <v>3746442.81</v>
      </c>
      <c r="I577" s="87">
        <f t="shared" si="47"/>
        <v>3746442.81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422780.56</f>
        <v>422780.56</v>
      </c>
      <c r="I581" s="87">
        <f t="shared" si="47"/>
        <v>422780.56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196307.33</v>
      </c>
      <c r="I582" s="87">
        <f t="shared" si="47"/>
        <v>196307.33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219813.61999999997</v>
      </c>
      <c r="I591" s="18"/>
      <c r="J591" s="18">
        <v>161581.38</v>
      </c>
      <c r="K591" s="104">
        <f t="shared" ref="K591:K597" si="48">SUM(H591:J591)</f>
        <v>381395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122096.92000000001</v>
      </c>
      <c r="I592" s="18"/>
      <c r="J592" s="18">
        <v>48691.06</v>
      </c>
      <c r="K592" s="104">
        <f t="shared" si="48"/>
        <v>170787.98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8722.6</v>
      </c>
      <c r="I594" s="18"/>
      <c r="J594" s="18"/>
      <c r="K594" s="104">
        <f t="shared" si="48"/>
        <v>8722.6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3983.32</v>
      </c>
      <c r="I595" s="18"/>
      <c r="J595" s="18"/>
      <c r="K595" s="104">
        <f t="shared" si="48"/>
        <v>3983.32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354616.45999999996</v>
      </c>
      <c r="I598" s="108">
        <f>SUM(I591:I597)</f>
        <v>0</v>
      </c>
      <c r="J598" s="108">
        <f>SUM(J591:J597)</f>
        <v>210272.44</v>
      </c>
      <c r="K598" s="108">
        <f>SUM(K591:K597)</f>
        <v>564888.89999999991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107727.53+45990.99</f>
        <v>153718.51999999999</v>
      </c>
      <c r="I604" s="18"/>
      <c r="J604" s="18"/>
      <c r="K604" s="104">
        <f>SUM(H604:J604)</f>
        <v>153718.51999999999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153718.51999999999</v>
      </c>
      <c r="I605" s="108">
        <f>SUM(I602:I604)</f>
        <v>0</v>
      </c>
      <c r="J605" s="108">
        <f>SUM(J602:J604)</f>
        <v>0</v>
      </c>
      <c r="K605" s="108">
        <f>SUM(K602:K604)</f>
        <v>153718.51999999999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506912.52</v>
      </c>
      <c r="H617" s="109">
        <f>SUM(F52)</f>
        <v>506912.52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79409.33</v>
      </c>
      <c r="H618" s="109">
        <f>SUM(G52)</f>
        <v>79409.33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76748.19</v>
      </c>
      <c r="H619" s="109">
        <f>SUM(H52)</f>
        <v>76748.19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261131.88</v>
      </c>
      <c r="H621" s="109">
        <f>SUM(J52)</f>
        <v>261131.88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416537.13</v>
      </c>
      <c r="H622" s="109">
        <f>F476</f>
        <v>416537.13000000082</v>
      </c>
      <c r="I622" s="121" t="s">
        <v>101</v>
      </c>
      <c r="J622" s="109">
        <f t="shared" ref="J622:J655" si="50">G622-H622</f>
        <v>-8.149072527885437E-10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24684.29</v>
      </c>
      <c r="H623" s="109">
        <f>G476</f>
        <v>24684.289999999979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261131.88</v>
      </c>
      <c r="H626" s="109">
        <f>J476</f>
        <v>261131.88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11547335.27</v>
      </c>
      <c r="H627" s="104">
        <f>SUM(F468)</f>
        <v>11547335.27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192293.61000000004</v>
      </c>
      <c r="H628" s="104">
        <f>SUM(G468)</f>
        <v>192293.61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277951.05</v>
      </c>
      <c r="H629" s="104">
        <f>SUM(H468)</f>
        <v>277951.05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27577.989999999998</v>
      </c>
      <c r="H631" s="104">
        <f>SUM(J468)</f>
        <v>27577.989999999998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11409207.110000001</v>
      </c>
      <c r="H632" s="104">
        <f>SUM(F472)</f>
        <v>11409207.109999999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277951.05</v>
      </c>
      <c r="H633" s="104">
        <f>SUM(H472)</f>
        <v>277951.05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79635.539999999994</v>
      </c>
      <c r="H634" s="104">
        <f>I369</f>
        <v>79635.539999999994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182478.31999999998</v>
      </c>
      <c r="H635" s="104">
        <f>SUM(G472)</f>
        <v>182478.32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27577.99</v>
      </c>
      <c r="H637" s="164">
        <f>SUM(J468)</f>
        <v>27577.989999999998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261131.88</v>
      </c>
      <c r="H640" s="104">
        <f>SUM(G461)</f>
        <v>261131.88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261131.88</v>
      </c>
      <c r="H642" s="104">
        <f>SUM(I461)</f>
        <v>261131.88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2577.9899999999998</v>
      </c>
      <c r="H644" s="104">
        <f>H408</f>
        <v>2577.9899999999998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27577.989999999998</v>
      </c>
      <c r="H646" s="104">
        <f>L408</f>
        <v>27577.99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564888.89999999991</v>
      </c>
      <c r="H647" s="104">
        <f>L208+L226+L244</f>
        <v>564888.9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153718.51999999999</v>
      </c>
      <c r="H648" s="104">
        <f>(J257+J338)-(J255+J336)</f>
        <v>153718.51999999999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354616.46</v>
      </c>
      <c r="H649" s="104">
        <f>H598</f>
        <v>354616.45999999996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210272.44</v>
      </c>
      <c r="H651" s="104">
        <f>J598</f>
        <v>210272.44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6769589.0700000003</v>
      </c>
      <c r="G660" s="19">
        <f>(L229+L309+L359)</f>
        <v>0</v>
      </c>
      <c r="H660" s="19">
        <f>(L247+L328+L360)</f>
        <v>4730897.4100000011</v>
      </c>
      <c r="I660" s="19">
        <f>SUM(F660:H660)</f>
        <v>11500486.48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155935.23000000001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155935.23000000001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354616.46</v>
      </c>
      <c r="G662" s="19">
        <f>(L226+L306)-(J226+J306)</f>
        <v>0</v>
      </c>
      <c r="H662" s="19">
        <f>(L244+L325)-(J244+J325)</f>
        <v>210272.44</v>
      </c>
      <c r="I662" s="19">
        <f>SUM(F662:H662)</f>
        <v>564888.9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153718.51999999999</v>
      </c>
      <c r="G663" s="199">
        <f>SUM(G575:G587)+SUM(I602:I604)+L612</f>
        <v>0</v>
      </c>
      <c r="H663" s="199">
        <f>SUM(H575:H587)+SUM(J602:J604)+L613</f>
        <v>4365530.7</v>
      </c>
      <c r="I663" s="19">
        <f>SUM(F663:H663)</f>
        <v>4519249.22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6105318.8600000003</v>
      </c>
      <c r="G664" s="19">
        <f>G660-SUM(G661:G663)</f>
        <v>0</v>
      </c>
      <c r="H664" s="19">
        <f>H660-SUM(H661:H663)</f>
        <v>155094.27000000048</v>
      </c>
      <c r="I664" s="19">
        <f>I660-SUM(I661:I663)</f>
        <v>6260413.1300000008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507.78</v>
      </c>
      <c r="G665" s="248"/>
      <c r="H665" s="248"/>
      <c r="I665" s="19">
        <f>SUM(F665:H665)</f>
        <v>507.78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12023.55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12328.99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-155094.26999999999</v>
      </c>
      <c r="I669" s="19">
        <f>SUM(F669:H669)</f>
        <v>-155094.26999999999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12023.55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12023.55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55" sqref="C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1834447.0399999998</v>
      </c>
      <c r="C9" s="229">
        <f>'DOE25'!G197+'DOE25'!G215+'DOE25'!G233+'DOE25'!G276+'DOE25'!G295+'DOE25'!G314</f>
        <v>836169.82</v>
      </c>
    </row>
    <row r="10" spans="1:3" x14ac:dyDescent="0.2">
      <c r="A10" t="s">
        <v>779</v>
      </c>
      <c r="B10" s="240">
        <f>1684902.43+22939.64+30934.81</f>
        <v>1738776.88</v>
      </c>
      <c r="C10" s="240">
        <f>428968.43+20849.29+2069+6409+131369.11+223635.13+3019.71+6845+8337.39+4667.76-634.76-6683.98</f>
        <v>828851.08</v>
      </c>
    </row>
    <row r="11" spans="1:3" x14ac:dyDescent="0.2">
      <c r="A11" t="s">
        <v>780</v>
      </c>
      <c r="B11" s="240">
        <v>8297.83</v>
      </c>
      <c r="C11" s="240">
        <v>634.76</v>
      </c>
    </row>
    <row r="12" spans="1:3" x14ac:dyDescent="0.2">
      <c r="A12" t="s">
        <v>781</v>
      </c>
      <c r="B12" s="240">
        <f>73160.39+8341.94+5870</f>
        <v>87372.33</v>
      </c>
      <c r="C12" s="240">
        <v>6683.98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1834447.04</v>
      </c>
      <c r="C13" s="231">
        <f>SUM(C10:C12)</f>
        <v>836169.82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832907.97999999986</v>
      </c>
      <c r="C18" s="229">
        <f>'DOE25'!G198+'DOE25'!G216+'DOE25'!G234+'DOE25'!G277+'DOE25'!G296+'DOE25'!G315</f>
        <v>227623.97</v>
      </c>
    </row>
    <row r="19" spans="1:3" x14ac:dyDescent="0.2">
      <c r="A19" t="s">
        <v>779</v>
      </c>
      <c r="B19" s="240">
        <f>297029.62+3000+19586.97+1533</f>
        <v>321149.58999999997</v>
      </c>
      <c r="C19" s="240">
        <f>121562.77+3452.45+351+2510-348.16+47695.28+44653.72-642.34+4005+4036.09-40966.33+348.16-1653.07</f>
        <v>185004.56999999998</v>
      </c>
    </row>
    <row r="20" spans="1:3" x14ac:dyDescent="0.2">
      <c r="A20" t="s">
        <v>780</v>
      </c>
      <c r="B20" s="240">
        <f>315291.04+128337.12+900.1+42609.13+4608</f>
        <v>491745.38999999996</v>
      </c>
      <c r="C20" s="240">
        <f>37618.52+2999.65+348.16</f>
        <v>40966.33</v>
      </c>
    </row>
    <row r="21" spans="1:3" x14ac:dyDescent="0.2">
      <c r="A21" t="s">
        <v>781</v>
      </c>
      <c r="B21" s="240">
        <v>20013</v>
      </c>
      <c r="C21" s="240">
        <f>1530.99+122.08</f>
        <v>1653.07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832907.98</v>
      </c>
      <c r="C22" s="231">
        <f>SUM(C19:C21)</f>
        <v>227623.96999999997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48106.38</v>
      </c>
      <c r="C36" s="235">
        <f>'DOE25'!G200+'DOE25'!G218+'DOE25'!G236+'DOE25'!G279+'DOE25'!G298+'DOE25'!G317</f>
        <v>9763.67</v>
      </c>
    </row>
    <row r="37" spans="1:3" x14ac:dyDescent="0.2">
      <c r="A37" t="s">
        <v>779</v>
      </c>
      <c r="B37" s="240">
        <f>19526.85+28579.53</f>
        <v>48106.38</v>
      </c>
      <c r="C37" s="240">
        <f>3882.22+5881.45</f>
        <v>9763.67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48106.38</v>
      </c>
      <c r="C40" s="231">
        <f>SUM(C37:C39)</f>
        <v>9763.67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6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Chester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8203938.6099999994</v>
      </c>
      <c r="D5" s="20">
        <f>SUM('DOE25'!L197:L200)+SUM('DOE25'!L215:L218)+SUM('DOE25'!L233:L236)-F5-G5</f>
        <v>8176881.1799999997</v>
      </c>
      <c r="E5" s="243"/>
      <c r="F5" s="255">
        <f>SUM('DOE25'!J197:J200)+SUM('DOE25'!J215:J218)+SUM('DOE25'!J233:J236)</f>
        <v>27057.43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506471.66</v>
      </c>
      <c r="D6" s="20">
        <f>'DOE25'!L202+'DOE25'!L220+'DOE25'!L238-F6-G6</f>
        <v>504042.06999999995</v>
      </c>
      <c r="E6" s="243"/>
      <c r="F6" s="255">
        <f>'DOE25'!J202+'DOE25'!J220+'DOE25'!J238</f>
        <v>2429.59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366400.96</v>
      </c>
      <c r="D7" s="20">
        <f>'DOE25'!L203+'DOE25'!L221+'DOE25'!L239-F7-G7</f>
        <v>303914.38</v>
      </c>
      <c r="E7" s="243"/>
      <c r="F7" s="255">
        <f>'DOE25'!J203+'DOE25'!J221+'DOE25'!J239</f>
        <v>62486.58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278105.15999999997</v>
      </c>
      <c r="D8" s="243"/>
      <c r="E8" s="20">
        <f>'DOE25'!L204+'DOE25'!L222+'DOE25'!L240-F8-G8-D9-D11</f>
        <v>258653.53999999998</v>
      </c>
      <c r="F8" s="255">
        <f>'DOE25'!J204+'DOE25'!J222+'DOE25'!J240</f>
        <v>5901.43</v>
      </c>
      <c r="G8" s="53">
        <f>'DOE25'!K204+'DOE25'!K222+'DOE25'!K240</f>
        <v>13550.189999999999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40527.880000000005</v>
      </c>
      <c r="D9" s="244">
        <f>54092.91-13565.03</f>
        <v>40527.880000000005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12625</v>
      </c>
      <c r="D10" s="243"/>
      <c r="E10" s="244">
        <v>12625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169052.77000000002</v>
      </c>
      <c r="D11" s="244">
        <f>92499.89+19929.64+1339.36+37710+6799.03+4102.85+6672</f>
        <v>169052.77000000002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374705.93999999994</v>
      </c>
      <c r="D12" s="20">
        <f>'DOE25'!L205+'DOE25'!L223+'DOE25'!L241-F12-G12</f>
        <v>365482.05999999994</v>
      </c>
      <c r="E12" s="243"/>
      <c r="F12" s="255">
        <f>'DOE25'!J205+'DOE25'!J223+'DOE25'!J241</f>
        <v>6470.5</v>
      </c>
      <c r="G12" s="53">
        <f>'DOE25'!K205+'DOE25'!K223+'DOE25'!K241</f>
        <v>2753.38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535965.23</v>
      </c>
      <c r="D14" s="20">
        <f>'DOE25'!L207+'DOE25'!L225+'DOE25'!L243-F14-G14</f>
        <v>532583.23</v>
      </c>
      <c r="E14" s="243"/>
      <c r="F14" s="255">
        <f>'DOE25'!J207+'DOE25'!J225+'DOE25'!J243</f>
        <v>3382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564888.9</v>
      </c>
      <c r="D15" s="20">
        <f>'DOE25'!L208+'DOE25'!L226+'DOE25'!L244-F15-G15</f>
        <v>564888.9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344150</v>
      </c>
      <c r="D25" s="243"/>
      <c r="E25" s="243"/>
      <c r="F25" s="258"/>
      <c r="G25" s="256"/>
      <c r="H25" s="257">
        <f>'DOE25'!L260+'DOE25'!L261+'DOE25'!L341+'DOE25'!L342</f>
        <v>344150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108196.25999999998</v>
      </c>
      <c r="D29" s="20">
        <f>'DOE25'!L358+'DOE25'!L359+'DOE25'!L360-'DOE25'!I367-F29-G29</f>
        <v>103027.65999999997</v>
      </c>
      <c r="E29" s="243"/>
      <c r="F29" s="255">
        <f>'DOE25'!J358+'DOE25'!J359+'DOE25'!J360</f>
        <v>5168.6000000000004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277951.05</v>
      </c>
      <c r="D31" s="20">
        <f>'DOE25'!L290+'DOE25'!L309+'DOE25'!L328+'DOE25'!L333+'DOE25'!L334+'DOE25'!L335-F31-G31</f>
        <v>231910.06</v>
      </c>
      <c r="E31" s="243"/>
      <c r="F31" s="255">
        <f>'DOE25'!J290+'DOE25'!J309+'DOE25'!J328+'DOE25'!J333+'DOE25'!J334+'DOE25'!J335</f>
        <v>45990.99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10992310.190000003</v>
      </c>
      <c r="E33" s="246">
        <f>SUM(E5:E31)</f>
        <v>271278.53999999998</v>
      </c>
      <c r="F33" s="246">
        <f>SUM(F5:F31)</f>
        <v>158887.12</v>
      </c>
      <c r="G33" s="246">
        <f>SUM(G5:G31)</f>
        <v>16353.57</v>
      </c>
      <c r="H33" s="246">
        <f>SUM(H5:H31)</f>
        <v>344150</v>
      </c>
    </row>
    <row r="35" spans="2:8" ht="12" thickBot="1" x14ac:dyDescent="0.25">
      <c r="B35" s="253" t="s">
        <v>847</v>
      </c>
      <c r="D35" s="254">
        <f>E33</f>
        <v>271278.53999999998</v>
      </c>
      <c r="E35" s="249"/>
    </row>
    <row r="36" spans="2:8" ht="12" thickTop="1" x14ac:dyDescent="0.2">
      <c r="B36" t="s">
        <v>815</v>
      </c>
      <c r="D36" s="20">
        <f>D33</f>
        <v>10992310.190000003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5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368617.63</v>
      </c>
      <c r="D8" s="95">
        <f>'DOE25'!G9</f>
        <v>76712.59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137782.89000000001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261131.88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2696.74</v>
      </c>
      <c r="E12" s="95">
        <f>'DOE25'!H13</f>
        <v>76748.19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506912.52</v>
      </c>
      <c r="D18" s="41">
        <f>SUM(D8:D17)</f>
        <v>79409.33</v>
      </c>
      <c r="E18" s="41">
        <f>SUM(E8:E17)</f>
        <v>76748.19</v>
      </c>
      <c r="F18" s="41">
        <f>SUM(F8:F17)</f>
        <v>0</v>
      </c>
      <c r="G18" s="41">
        <f>SUM(G8:G17)</f>
        <v>261131.88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54725.04</v>
      </c>
      <c r="E21" s="95">
        <f>'DOE25'!H22</f>
        <v>76748.19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80001.39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10374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90375.39</v>
      </c>
      <c r="D31" s="41">
        <f>SUM(D21:D30)</f>
        <v>54725.04</v>
      </c>
      <c r="E31" s="41">
        <f>SUM(E21:E30)</f>
        <v>76748.19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24684.29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194883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261131.88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190654.13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416537.13</v>
      </c>
      <c r="D50" s="41">
        <f>SUM(D34:D49)</f>
        <v>24684.29</v>
      </c>
      <c r="E50" s="41">
        <f>SUM(E34:E49)</f>
        <v>0</v>
      </c>
      <c r="F50" s="41">
        <f>SUM(F34:F49)</f>
        <v>0</v>
      </c>
      <c r="G50" s="41">
        <f>SUM(G34:G49)</f>
        <v>261131.88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506912.52</v>
      </c>
      <c r="D51" s="41">
        <f>D50+D31</f>
        <v>79409.33</v>
      </c>
      <c r="E51" s="41">
        <f>E50+E31</f>
        <v>76748.19</v>
      </c>
      <c r="F51" s="41">
        <f>F50+F31</f>
        <v>0</v>
      </c>
      <c r="G51" s="41">
        <f>G50+G31</f>
        <v>261131.88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7378650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11016.33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292.88</v>
      </c>
      <c r="D59" s="95">
        <f>'DOE25'!G96</f>
        <v>83.01</v>
      </c>
      <c r="E59" s="95">
        <f>'DOE25'!H96</f>
        <v>0</v>
      </c>
      <c r="F59" s="95">
        <f>'DOE25'!I96</f>
        <v>0</v>
      </c>
      <c r="G59" s="95">
        <f>'DOE25'!J96</f>
        <v>2577.9899999999998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155935.23000000001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9781.9699999999993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21091.18</v>
      </c>
      <c r="D62" s="130">
        <f>SUM(D57:D61)</f>
        <v>156018.24000000002</v>
      </c>
      <c r="E62" s="130">
        <f>SUM(E57:E61)</f>
        <v>0</v>
      </c>
      <c r="F62" s="130">
        <f>SUM(F57:F61)</f>
        <v>0</v>
      </c>
      <c r="G62" s="130">
        <f>SUM(G57:G61)</f>
        <v>2577.9899999999998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7399741.1799999997</v>
      </c>
      <c r="D63" s="22">
        <f>D56+D62</f>
        <v>156018.24000000002</v>
      </c>
      <c r="E63" s="22">
        <f>E56+E62</f>
        <v>0</v>
      </c>
      <c r="F63" s="22">
        <f>F56+F62</f>
        <v>0</v>
      </c>
      <c r="G63" s="22">
        <f>G56+G62</f>
        <v>2577.9899999999998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2804757.41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1084371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3889128.41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70323.490000000005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2454.1999999999998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160323.49</v>
      </c>
      <c r="D78" s="130">
        <f>SUM(D72:D77)</f>
        <v>2454.1999999999998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4049451.9000000004</v>
      </c>
      <c r="D81" s="130">
        <f>SUM(D79:D80)+D78+D70</f>
        <v>2454.1999999999998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36454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91832.53</v>
      </c>
      <c r="D88" s="95">
        <f>SUM('DOE25'!G153:G161)</f>
        <v>33821.17</v>
      </c>
      <c r="E88" s="95">
        <f>SUM('DOE25'!H153:H161)</f>
        <v>241497.05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91832.53</v>
      </c>
      <c r="D91" s="131">
        <f>SUM(D85:D90)</f>
        <v>33821.17</v>
      </c>
      <c r="E91" s="131">
        <f>SUM(E85:E90)</f>
        <v>277951.05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6309.66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6309.66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11547335.27</v>
      </c>
      <c r="D104" s="86">
        <f>D63+D81+D91+D103</f>
        <v>192293.61000000004</v>
      </c>
      <c r="E104" s="86">
        <f>E63+E81+E91+E103</f>
        <v>277951.05</v>
      </c>
      <c r="F104" s="86">
        <f>F63+F81+F91+F103</f>
        <v>0</v>
      </c>
      <c r="G104" s="86">
        <f>G63+G81+G103</f>
        <v>27577.989999999998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6492348.3699999992</v>
      </c>
      <c r="D109" s="24" t="s">
        <v>289</v>
      </c>
      <c r="E109" s="95">
        <f>('DOE25'!L276)+('DOE25'!L295)+('DOE25'!L314)</f>
        <v>74835.01999999999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1643442.51</v>
      </c>
      <c r="D110" s="24" t="s">
        <v>289</v>
      </c>
      <c r="E110" s="95">
        <f>('DOE25'!L277)+('DOE25'!L296)+('DOE25'!L315)</f>
        <v>203116.03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68147.73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8203938.6099999994</v>
      </c>
      <c r="D115" s="86">
        <f>SUM(D109:D114)</f>
        <v>0</v>
      </c>
      <c r="E115" s="86">
        <f>SUM(E109:E114)</f>
        <v>277951.05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506471.66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366400.96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487685.81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374705.93999999994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535965.23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564888.9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182478.31999999998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2836118.4999999995</v>
      </c>
      <c r="D128" s="86">
        <f>SUM(D118:D127)</f>
        <v>182478.31999999998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34150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27577.99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-2577.9900000000016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369150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11409207.109999999</v>
      </c>
      <c r="D145" s="86">
        <f>(D115+D128+D144)</f>
        <v>182478.31999999998</v>
      </c>
      <c r="E145" s="86">
        <f>(E115+E128+E144)</f>
        <v>277951.05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2076000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310000</v>
      </c>
    </row>
    <row r="159" spans="1:9" x14ac:dyDescent="0.2">
      <c r="A159" s="22" t="s">
        <v>35</v>
      </c>
      <c r="B159" s="137">
        <f>'DOE25'!F498</f>
        <v>1135000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1135000</v>
      </c>
    </row>
    <row r="160" spans="1:9" x14ac:dyDescent="0.2">
      <c r="A160" s="22" t="s">
        <v>36</v>
      </c>
      <c r="B160" s="137">
        <f>'DOE25'!F499</f>
        <v>64725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64725</v>
      </c>
    </row>
    <row r="161" spans="1:7" x14ac:dyDescent="0.2">
      <c r="A161" s="22" t="s">
        <v>37</v>
      </c>
      <c r="B161" s="137">
        <f>'DOE25'!F500</f>
        <v>1199725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1199725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290000</v>
      </c>
    </row>
    <row r="163" spans="1:7" x14ac:dyDescent="0.2">
      <c r="A163" s="22" t="s">
        <v>39</v>
      </c>
      <c r="B163" s="137">
        <f>'DOE25'!F502</f>
        <v>20700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20700</v>
      </c>
    </row>
    <row r="164" spans="1:7" x14ac:dyDescent="0.2">
      <c r="A164" s="22" t="s">
        <v>246</v>
      </c>
      <c r="B164" s="137">
        <f>'DOE25'!F503</f>
        <v>310700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310700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Chester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12024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12024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6567183</v>
      </c>
      <c r="D10" s="182">
        <f>ROUND((C10/$C$28)*100,1)</f>
        <v>57.7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1846559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68148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506472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366401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487686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374706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535965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564889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34150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26542.76999999999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11378701.77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11378701.77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310000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7378650</v>
      </c>
      <c r="D35" s="182">
        <f t="shared" ref="D35:D40" si="1">ROUND((C35/$C$41)*100,1)</f>
        <v>62.2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23752.179999999702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3889128</v>
      </c>
      <c r="D37" s="182">
        <f t="shared" si="1"/>
        <v>32.799999999999997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162778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403605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11857913.18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Chester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2015-10-13T13:16:50Z</cp:lastPrinted>
  <dcterms:created xsi:type="dcterms:W3CDTF">1997-12-04T19:04:30Z</dcterms:created>
  <dcterms:modified xsi:type="dcterms:W3CDTF">2015-10-23T17:38:07Z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