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D9" i="13" l="1"/>
  <c r="H202" i="1"/>
  <c r="F579" i="1" l="1"/>
  <c r="H541" i="1"/>
  <c r="J526" i="1"/>
  <c r="I526" i="1"/>
  <c r="H526" i="1"/>
  <c r="G526" i="1"/>
  <c r="F526" i="1"/>
  <c r="J521" i="1"/>
  <c r="I521" i="1"/>
  <c r="H521" i="1"/>
  <c r="G521" i="1"/>
  <c r="F521" i="1"/>
  <c r="J179" i="1"/>
  <c r="J96" i="1"/>
  <c r="H208" i="1"/>
  <c r="I358" i="1"/>
  <c r="H358" i="1"/>
  <c r="G358" i="1"/>
  <c r="I277" i="1"/>
  <c r="K285" i="1"/>
  <c r="H283" i="1"/>
  <c r="H282" i="1"/>
  <c r="I282" i="1"/>
  <c r="H277" i="1"/>
  <c r="G276" i="1"/>
  <c r="F276" i="1"/>
  <c r="H244" i="1"/>
  <c r="H209" i="1"/>
  <c r="H204" i="1"/>
  <c r="J202" i="1"/>
  <c r="I205" i="1"/>
  <c r="I203" i="1"/>
  <c r="I202" i="1"/>
  <c r="I200" i="1"/>
  <c r="H203" i="1"/>
  <c r="G209" i="1"/>
  <c r="G204" i="1"/>
  <c r="G203" i="1"/>
  <c r="G202" i="1"/>
  <c r="G200" i="1"/>
  <c r="G198" i="1"/>
  <c r="F204" i="1"/>
  <c r="F203" i="1"/>
  <c r="F202" i="1"/>
  <c r="F200" i="1"/>
  <c r="F198" i="1"/>
  <c r="H159" i="1" l="1"/>
  <c r="H155" i="1"/>
  <c r="H154" i="1"/>
  <c r="G97" i="1"/>
  <c r="F110" i="1"/>
  <c r="F9" i="1"/>
  <c r="C45" i="2" l="1"/>
  <c r="G51" i="1"/>
  <c r="F51" i="1"/>
  <c r="C37" i="10" l="1"/>
  <c r="F40" i="2" l="1"/>
  <c r="D39" i="2"/>
  <c r="G655" i="1"/>
  <c r="J655" i="1" s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D50" i="2" s="1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E8" i="13" s="1"/>
  <c r="C8" i="13" s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C111" i="2" s="1"/>
  <c r="L200" i="1"/>
  <c r="L215" i="1"/>
  <c r="L216" i="1"/>
  <c r="L217" i="1"/>
  <c r="L218" i="1"/>
  <c r="L233" i="1"/>
  <c r="L234" i="1"/>
  <c r="L235" i="1"/>
  <c r="L236" i="1"/>
  <c r="F6" i="13"/>
  <c r="G6" i="13"/>
  <c r="L202" i="1"/>
  <c r="D6" i="13" s="1"/>
  <c r="C6" i="13" s="1"/>
  <c r="L220" i="1"/>
  <c r="L238" i="1"/>
  <c r="F7" i="13"/>
  <c r="G7" i="13"/>
  <c r="L203" i="1"/>
  <c r="L221" i="1"/>
  <c r="L239" i="1"/>
  <c r="F12" i="13"/>
  <c r="G12" i="13"/>
  <c r="L205" i="1"/>
  <c r="C18" i="10" s="1"/>
  <c r="L223" i="1"/>
  <c r="L241" i="1"/>
  <c r="F14" i="13"/>
  <c r="G14" i="13"/>
  <c r="L207" i="1"/>
  <c r="D14" i="13" s="1"/>
  <c r="C14" i="13" s="1"/>
  <c r="L225" i="1"/>
  <c r="L243" i="1"/>
  <c r="F15" i="13"/>
  <c r="G15" i="13"/>
  <c r="L208" i="1"/>
  <c r="C21" i="10" s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F661" i="1" s="1"/>
  <c r="L359" i="1"/>
  <c r="L360" i="1"/>
  <c r="I367" i="1"/>
  <c r="J290" i="1"/>
  <c r="J309" i="1"/>
  <c r="J328" i="1"/>
  <c r="K290" i="1"/>
  <c r="K309" i="1"/>
  <c r="K328" i="1"/>
  <c r="L276" i="1"/>
  <c r="E109" i="2" s="1"/>
  <c r="L277" i="1"/>
  <c r="L278" i="1"/>
  <c r="L279" i="1"/>
  <c r="L281" i="1"/>
  <c r="E118" i="2" s="1"/>
  <c r="L282" i="1"/>
  <c r="E119" i="2" s="1"/>
  <c r="L283" i="1"/>
  <c r="L284" i="1"/>
  <c r="L285" i="1"/>
  <c r="C19" i="10" s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A31" i="12" s="1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H112" i="1" s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H162" i="1"/>
  <c r="H169" i="1" s="1"/>
  <c r="I147" i="1"/>
  <c r="I162" i="1"/>
  <c r="C12" i="10"/>
  <c r="C13" i="10"/>
  <c r="L250" i="1"/>
  <c r="L332" i="1"/>
  <c r="L254" i="1"/>
  <c r="C25" i="10"/>
  <c r="L268" i="1"/>
  <c r="L269" i="1"/>
  <c r="L349" i="1"/>
  <c r="L350" i="1"/>
  <c r="I665" i="1"/>
  <c r="I670" i="1"/>
  <c r="L229" i="1"/>
  <c r="L247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G552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E31" i="2" s="1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8" i="2" s="1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C91" i="2" s="1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0" i="2"/>
  <c r="E111" i="2"/>
  <c r="E112" i="2"/>
  <c r="C113" i="2"/>
  <c r="E113" i="2"/>
  <c r="C114" i="2"/>
  <c r="E114" i="2"/>
  <c r="D115" i="2"/>
  <c r="F115" i="2"/>
  <c r="G115" i="2"/>
  <c r="C119" i="2"/>
  <c r="E120" i="2"/>
  <c r="E121" i="2"/>
  <c r="C122" i="2"/>
  <c r="C123" i="2"/>
  <c r="E123" i="2"/>
  <c r="E124" i="2"/>
  <c r="C125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G619" i="1" s="1"/>
  <c r="I19" i="1"/>
  <c r="F32" i="1"/>
  <c r="F52" i="1" s="1"/>
  <c r="G32" i="1"/>
  <c r="G52" i="1" s="1"/>
  <c r="H618" i="1" s="1"/>
  <c r="H32" i="1"/>
  <c r="I32" i="1"/>
  <c r="H617" i="1"/>
  <c r="H51" i="1"/>
  <c r="G624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F257" i="1" s="1"/>
  <c r="F271" i="1" s="1"/>
  <c r="G211" i="1"/>
  <c r="G257" i="1" s="1"/>
  <c r="G271" i="1" s="1"/>
  <c r="H211" i="1"/>
  <c r="I211" i="1"/>
  <c r="I257" i="1" s="1"/>
  <c r="I271" i="1" s="1"/>
  <c r="J211" i="1"/>
  <c r="J257" i="1" s="1"/>
  <c r="J271" i="1" s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I369" i="1" s="1"/>
  <c r="H634" i="1" s="1"/>
  <c r="F369" i="1"/>
  <c r="G369" i="1"/>
  <c r="H369" i="1"/>
  <c r="L381" i="1"/>
  <c r="F382" i="1"/>
  <c r="G382" i="1"/>
  <c r="H382" i="1"/>
  <c r="I382" i="1"/>
  <c r="J382" i="1"/>
  <c r="K382" i="1"/>
  <c r="F393" i="1"/>
  <c r="G393" i="1"/>
  <c r="G408" i="1" s="1"/>
  <c r="H645" i="1" s="1"/>
  <c r="H393" i="1"/>
  <c r="I393" i="1"/>
  <c r="F401" i="1"/>
  <c r="G401" i="1"/>
  <c r="H401" i="1"/>
  <c r="I401" i="1"/>
  <c r="F407" i="1"/>
  <c r="G407" i="1"/>
  <c r="H407" i="1"/>
  <c r="I407" i="1"/>
  <c r="F408" i="1"/>
  <c r="H408" i="1"/>
  <c r="H644" i="1" s="1"/>
  <c r="J644" i="1" s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F452" i="1"/>
  <c r="G452" i="1"/>
  <c r="H452" i="1"/>
  <c r="I452" i="1"/>
  <c r="F460" i="1"/>
  <c r="G460" i="1"/>
  <c r="H460" i="1"/>
  <c r="F461" i="1"/>
  <c r="H639" i="1" s="1"/>
  <c r="J639" i="1" s="1"/>
  <c r="G461" i="1"/>
  <c r="H461" i="1"/>
  <c r="F470" i="1"/>
  <c r="G470" i="1"/>
  <c r="H470" i="1"/>
  <c r="H476" i="1" s="1"/>
  <c r="H624" i="1" s="1"/>
  <c r="I470" i="1"/>
  <c r="J470" i="1"/>
  <c r="F474" i="1"/>
  <c r="F476" i="1" s="1"/>
  <c r="H622" i="1" s="1"/>
  <c r="J622" i="1" s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I545" i="1" s="1"/>
  <c r="J524" i="1"/>
  <c r="K524" i="1"/>
  <c r="F529" i="1"/>
  <c r="G529" i="1"/>
  <c r="H529" i="1"/>
  <c r="I529" i="1"/>
  <c r="J529" i="1"/>
  <c r="J545" i="1" s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8" i="1"/>
  <c r="G620" i="1"/>
  <c r="G622" i="1"/>
  <c r="G623" i="1"/>
  <c r="G625" i="1"/>
  <c r="H627" i="1"/>
  <c r="H628" i="1"/>
  <c r="H629" i="1"/>
  <c r="H630" i="1"/>
  <c r="H631" i="1"/>
  <c r="H632" i="1"/>
  <c r="H633" i="1"/>
  <c r="G634" i="1"/>
  <c r="H635" i="1"/>
  <c r="H636" i="1"/>
  <c r="H637" i="1"/>
  <c r="H638" i="1"/>
  <c r="G639" i="1"/>
  <c r="G640" i="1"/>
  <c r="H640" i="1"/>
  <c r="G641" i="1"/>
  <c r="H641" i="1"/>
  <c r="G643" i="1"/>
  <c r="H643" i="1"/>
  <c r="G644" i="1"/>
  <c r="G650" i="1"/>
  <c r="G651" i="1"/>
  <c r="G652" i="1"/>
  <c r="H652" i="1"/>
  <c r="G653" i="1"/>
  <c r="H653" i="1"/>
  <c r="G654" i="1"/>
  <c r="H654" i="1"/>
  <c r="H655" i="1"/>
  <c r="F192" i="1"/>
  <c r="L256" i="1"/>
  <c r="K257" i="1"/>
  <c r="K271" i="1" s="1"/>
  <c r="G164" i="2"/>
  <c r="C26" i="10"/>
  <c r="L328" i="1"/>
  <c r="H660" i="1" s="1"/>
  <c r="L351" i="1"/>
  <c r="C70" i="2"/>
  <c r="D62" i="2"/>
  <c r="D63" i="2" s="1"/>
  <c r="D18" i="13"/>
  <c r="C18" i="13" s="1"/>
  <c r="D7" i="13"/>
  <c r="C7" i="13" s="1"/>
  <c r="D17" i="13"/>
  <c r="C17" i="13" s="1"/>
  <c r="F78" i="2"/>
  <c r="F81" i="2" s="1"/>
  <c r="G157" i="2"/>
  <c r="F18" i="2"/>
  <c r="G161" i="2"/>
  <c r="G156" i="2"/>
  <c r="E103" i="2"/>
  <c r="E62" i="2"/>
  <c r="E63" i="2" s="1"/>
  <c r="G62" i="2"/>
  <c r="D29" i="13"/>
  <c r="C29" i="13" s="1"/>
  <c r="D19" i="13"/>
  <c r="C19" i="13" s="1"/>
  <c r="E13" i="13"/>
  <c r="C13" i="13" s="1"/>
  <c r="E78" i="2"/>
  <c r="E81" i="2" s="1"/>
  <c r="L427" i="1"/>
  <c r="J641" i="1"/>
  <c r="K605" i="1"/>
  <c r="G648" i="1" s="1"/>
  <c r="J571" i="1"/>
  <c r="K571" i="1"/>
  <c r="L433" i="1"/>
  <c r="L419" i="1"/>
  <c r="D81" i="2"/>
  <c r="I169" i="1"/>
  <c r="J643" i="1"/>
  <c r="I476" i="1"/>
  <c r="H625" i="1" s="1"/>
  <c r="J625" i="1" s="1"/>
  <c r="J140" i="1"/>
  <c r="F571" i="1"/>
  <c r="I552" i="1"/>
  <c r="K550" i="1"/>
  <c r="G22" i="2"/>
  <c r="K545" i="1"/>
  <c r="J552" i="1"/>
  <c r="H552" i="1"/>
  <c r="C29" i="10"/>
  <c r="H140" i="1"/>
  <c r="L401" i="1"/>
  <c r="C139" i="2" s="1"/>
  <c r="L393" i="1"/>
  <c r="C138" i="2" s="1"/>
  <c r="F22" i="13"/>
  <c r="H25" i="13"/>
  <c r="C25" i="13" s="1"/>
  <c r="H571" i="1"/>
  <c r="L560" i="1"/>
  <c r="F338" i="1"/>
  <c r="F352" i="1" s="1"/>
  <c r="G192" i="1"/>
  <c r="H192" i="1"/>
  <c r="F552" i="1"/>
  <c r="C35" i="10"/>
  <c r="L309" i="1"/>
  <c r="E16" i="13"/>
  <c r="C16" i="13" s="1"/>
  <c r="L570" i="1"/>
  <c r="I571" i="1"/>
  <c r="G36" i="2"/>
  <c r="L565" i="1"/>
  <c r="G545" i="1"/>
  <c r="K551" i="1"/>
  <c r="C22" i="13"/>
  <c r="H33" i="13"/>
  <c r="A40" i="12" l="1"/>
  <c r="A13" i="12"/>
  <c r="J651" i="1"/>
  <c r="K598" i="1"/>
  <c r="G647" i="1" s="1"/>
  <c r="H545" i="1"/>
  <c r="L524" i="1"/>
  <c r="L545" i="1"/>
  <c r="K549" i="1"/>
  <c r="K552" i="1" s="1"/>
  <c r="C11" i="10"/>
  <c r="J476" i="1"/>
  <c r="H626" i="1" s="1"/>
  <c r="G476" i="1"/>
  <c r="H623" i="1" s="1"/>
  <c r="J623" i="1" s="1"/>
  <c r="G645" i="1"/>
  <c r="J645" i="1" s="1"/>
  <c r="J640" i="1"/>
  <c r="I460" i="1"/>
  <c r="I461" i="1" s="1"/>
  <c r="H642" i="1" s="1"/>
  <c r="I446" i="1"/>
  <c r="G642" i="1" s="1"/>
  <c r="L382" i="1"/>
  <c r="G636" i="1" s="1"/>
  <c r="J636" i="1" s="1"/>
  <c r="J634" i="1"/>
  <c r="D127" i="2"/>
  <c r="D128" i="2" s="1"/>
  <c r="D145" i="2" s="1"/>
  <c r="G661" i="1"/>
  <c r="L362" i="1"/>
  <c r="C27" i="10" s="1"/>
  <c r="H661" i="1"/>
  <c r="H664" i="1" s="1"/>
  <c r="H667" i="1" s="1"/>
  <c r="E115" i="2"/>
  <c r="E122" i="2"/>
  <c r="E128" i="2" s="1"/>
  <c r="C16" i="10"/>
  <c r="L290" i="1"/>
  <c r="C110" i="2"/>
  <c r="H257" i="1"/>
  <c r="H271" i="1" s="1"/>
  <c r="C10" i="10"/>
  <c r="H647" i="1"/>
  <c r="C124" i="2"/>
  <c r="C120" i="2"/>
  <c r="C17" i="10"/>
  <c r="C121" i="2"/>
  <c r="C109" i="2"/>
  <c r="D15" i="13"/>
  <c r="C15" i="13" s="1"/>
  <c r="G649" i="1"/>
  <c r="J649" i="1" s="1"/>
  <c r="F662" i="1"/>
  <c r="I662" i="1" s="1"/>
  <c r="D12" i="13"/>
  <c r="C12" i="13" s="1"/>
  <c r="C118" i="2"/>
  <c r="D5" i="13"/>
  <c r="C5" i="13" s="1"/>
  <c r="C15" i="10"/>
  <c r="C20" i="10"/>
  <c r="E33" i="13"/>
  <c r="D35" i="13" s="1"/>
  <c r="L211" i="1"/>
  <c r="C112" i="2"/>
  <c r="C81" i="2"/>
  <c r="F112" i="1"/>
  <c r="C36" i="10" s="1"/>
  <c r="C62" i="2"/>
  <c r="C63" i="2" s="1"/>
  <c r="J624" i="1"/>
  <c r="H52" i="1"/>
  <c r="H619" i="1" s="1"/>
  <c r="J619" i="1" s="1"/>
  <c r="D31" i="2"/>
  <c r="D18" i="2"/>
  <c r="J617" i="1"/>
  <c r="C18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660" i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G63" i="2"/>
  <c r="J618" i="1"/>
  <c r="G42" i="2"/>
  <c r="J51" i="1"/>
  <c r="G16" i="2"/>
  <c r="J19" i="1"/>
  <c r="G621" i="1" s="1"/>
  <c r="G18" i="2"/>
  <c r="F545" i="1"/>
  <c r="H434" i="1"/>
  <c r="J620" i="1"/>
  <c r="D103" i="2"/>
  <c r="D104" i="2" s="1"/>
  <c r="I140" i="1"/>
  <c r="I193" i="1" s="1"/>
  <c r="G630" i="1" s="1"/>
  <c r="J630" i="1" s="1"/>
  <c r="A22" i="12"/>
  <c r="G50" i="2"/>
  <c r="G51" i="2" s="1"/>
  <c r="H648" i="1"/>
  <c r="J648" i="1" s="1"/>
  <c r="J652" i="1"/>
  <c r="G571" i="1"/>
  <c r="I434" i="1"/>
  <c r="G434" i="1"/>
  <c r="I663" i="1"/>
  <c r="J647" i="1" l="1"/>
  <c r="G104" i="2"/>
  <c r="J642" i="1"/>
  <c r="H646" i="1"/>
  <c r="J646" i="1" s="1"/>
  <c r="I661" i="1"/>
  <c r="G664" i="1"/>
  <c r="G667" i="1" s="1"/>
  <c r="G635" i="1"/>
  <c r="J635" i="1" s="1"/>
  <c r="H672" i="1"/>
  <c r="C6" i="10" s="1"/>
  <c r="D31" i="13"/>
  <c r="C31" i="13" s="1"/>
  <c r="E145" i="2"/>
  <c r="F660" i="1"/>
  <c r="F664" i="1" s="1"/>
  <c r="L338" i="1"/>
  <c r="L352" i="1" s="1"/>
  <c r="G633" i="1" s="1"/>
  <c r="J633" i="1" s="1"/>
  <c r="C128" i="2"/>
  <c r="C115" i="2"/>
  <c r="C28" i="10"/>
  <c r="D19" i="10" s="1"/>
  <c r="L257" i="1"/>
  <c r="L271" i="1" s="1"/>
  <c r="G632" i="1" s="1"/>
  <c r="J632" i="1" s="1"/>
  <c r="C104" i="2"/>
  <c r="F193" i="1"/>
  <c r="G627" i="1" s="1"/>
  <c r="J627" i="1" s="1"/>
  <c r="C51" i="2"/>
  <c r="G631" i="1"/>
  <c r="J631" i="1" s="1"/>
  <c r="D33" i="13"/>
  <c r="D36" i="13" s="1"/>
  <c r="G193" i="1"/>
  <c r="G628" i="1" s="1"/>
  <c r="J628" i="1" s="1"/>
  <c r="G626" i="1"/>
  <c r="J626" i="1" s="1"/>
  <c r="J52" i="1"/>
  <c r="H621" i="1" s="1"/>
  <c r="J621" i="1" s="1"/>
  <c r="C38" i="10"/>
  <c r="G672" i="1" l="1"/>
  <c r="C5" i="10" s="1"/>
  <c r="I660" i="1"/>
  <c r="I664" i="1" s="1"/>
  <c r="I672" i="1" s="1"/>
  <c r="C7" i="10" s="1"/>
  <c r="C145" i="2"/>
  <c r="D27" i="10"/>
  <c r="D22" i="10"/>
  <c r="D10" i="10"/>
  <c r="D24" i="10"/>
  <c r="D11" i="10"/>
  <c r="C30" i="10"/>
  <c r="D18" i="10"/>
  <c r="D21" i="10"/>
  <c r="D23" i="10"/>
  <c r="D26" i="10"/>
  <c r="D12" i="10"/>
  <c r="D13" i="10"/>
  <c r="D17" i="10"/>
  <c r="D16" i="10"/>
  <c r="D20" i="10"/>
  <c r="D15" i="10"/>
  <c r="D25" i="10"/>
  <c r="F672" i="1"/>
  <c r="C4" i="10" s="1"/>
  <c r="F667" i="1"/>
  <c r="H656" i="1"/>
  <c r="C41" i="10"/>
  <c r="D38" i="10" s="1"/>
  <c r="I667" i="1" l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<sst xmlns="http://schemas.openxmlformats.org/spreadsheetml/2006/main" count="3954" uniqueCount="912">
  <si>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</si>
  <si>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</si>
  <si>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</si>
  <si>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</si>
  <si>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</si>
  <si>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</si>
  <si>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</si>
  <si>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</si>
  <si>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</si>
  <si>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</si>
  <si>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</si>
  <si>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</si>
  <si>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</si>
  <si>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</si>
  <si>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</si>
  <si>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</si>
  <si>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</si>
  <si>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</si>
  <si>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</si>
  <si>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</si>
  <si>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</si>
  <si>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</si>
  <si>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</si>
  <si>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</si>
  <si>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</si>
  <si>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</si>
  <si>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</si>
  <si>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</si>
  <si>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</si>
  <si>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</si>
  <si>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</si>
  <si>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</si>
  <si>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</si>
  <si>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</si>
  <si>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</si>
  <si>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</si>
  <si>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</si>
  <si>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</si>
  <si>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</si>
  <si>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</si>
  <si>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</si>
  <si>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</si>
  <si>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</si>
  <si>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</si>
  <si>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</si>
  <si>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</si>
  <si>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</si>
  <si>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</si>
  <si>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</si>
  <si>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</si>
  <si>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</si>
  <si>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</si>
  <si>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</si>
  <si>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</si>
  <si>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</si>
  <si>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</si>
  <si>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</si>
  <si>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</si>
  <si>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</si>
  <si>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</si>
  <si>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</si>
  <si>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</si>
  <si>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</si>
  <si>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</si>
  <si>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</si>
  <si>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</si>
  <si>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</si>
  <si>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</si>
  <si>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</si>
  <si>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</si>
  <si>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</si>
  <si>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</si>
  <si>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</si>
  <si>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</si>
  <si>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</si>
  <si>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</si>
  <si>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</si>
  <si>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</si>
  <si>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</si>
  <si>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</si>
  <si>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</si>
  <si>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</si>
  <si>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</si>
  <si>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</si>
  <si>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</si>
  <si>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</si>
  <si>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</si>
  <si>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</si>
  <si>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</si>
  <si>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</si>
  <si>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</si>
  <si>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</si>
  <si>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</si>
  <si>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</si>
  <si>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</si>
  <si>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</si>
  <si>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</si>
  <si>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</si>
  <si>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</si>
  <si>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</si>
  <si>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</si>
  <si>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</si>
  <si>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</si>
  <si>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</si>
  <si>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</si>
  <si>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</si>
  <si>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</si>
  <si>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</si>
  <si>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</si>
  <si>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</si>
  <si>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</si>
  <si>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</si>
  <si>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</si>
  <si>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</si>
  <si>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</si>
  <si>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</si>
  <si>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</si>
  <si>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</si>
  <si>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</si>
  <si>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</si>
  <si>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</si>
  <si>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</si>
  <si>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</si>
  <si>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</si>
  <si>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</si>
  <si>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</si>
  <si>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</si>
  <si>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</si>
  <si>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</si>
  <si>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</si>
  <si>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</si>
  <si>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</si>
  <si>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</si>
  <si>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</si>
  <si>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</si>
  <si>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</si>
  <si>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</si>
  <si>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</si>
  <si>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</si>
  <si>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</si>
  <si>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</si>
  <si>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</si>
  <si>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</si>
  <si>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</si>
  <si>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</si>
  <si>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</si>
  <si>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</si>
  <si>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</si>
  <si>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</si>
  <si>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</si>
  <si>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</si>
  <si>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</si>
  <si>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</si>
  <si>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</si>
  <si>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</si>
  <si>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</si>
  <si>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</si>
  <si>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</si>
  <si>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</si>
  <si>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</si>
  <si>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</si>
  <si>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</si>
  <si>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</si>
  <si>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</si>
  <si>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</si>
  <si>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</si>
  <si>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</si>
  <si>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</si>
  <si>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</si>
  <si>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</si>
  <si>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</si>
  <si>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</si>
  <si>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</si>
  <si>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</si>
  <si>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</si>
  <si>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</si>
  <si>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</si>
  <si>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</si>
  <si>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</si>
  <si>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</si>
  <si>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</si>
  <si>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</si>
  <si>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</si>
  <si>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</si>
  <si>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</si>
  <si>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</si>
  <si>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</si>
  <si>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</si>
  <si>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</si>
  <si>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</si>
  <si>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</si>
  <si>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</si>
  <si>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</si>
  <si>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</si>
  <si>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</si>
  <si>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</si>
  <si>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</si>
  <si>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</si>
  <si>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</si>
  <si>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</si>
  <si>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</si>
  <si>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</si>
  <si>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</si>
  <si>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</si>
  <si>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</si>
  <si>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</si>
  <si>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</si>
  <si>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</si>
  <si>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</si>
  <si>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</si>
  <si>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</si>
  <si>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</si>
  <si>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</si>
  <si>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</si>
  <si>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</si>
  <si>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</si>
  <si>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</si>
  <si>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</si>
  <si>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</si>
  <si>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</si>
  <si>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</si>
  <si>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</si>
  <si>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</si>
  <si>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</si>
  <si>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</si>
  <si>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</si>
  <si>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</si>
  <si>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</si>
  <si>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</si>
  <si>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</si>
  <si>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</si>
  <si>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</si>
  <si>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</si>
  <si>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</si>
  <si>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</si>
  <si>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</si>
  <si>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</si>
  <si>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</si>
  <si>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</si>
  <si>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</si>
  <si>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</si>
  <si>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</si>
  <si>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</si>
  <si>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</si>
  <si>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</si>
  <si>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</si>
  <si>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</si>
  <si>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</si>
  <si>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</si>
  <si>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</si>
  <si>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</si>
  <si>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</si>
  <si>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</si>
  <si>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</si>
  <si>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</si>
  <si>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</si>
  <si>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</si>
  <si>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</si>
  <si>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</si>
  <si>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</si>
  <si>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</si>
  <si>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</si>
  <si>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</si>
  <si>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</si>
  <si>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</si>
  <si>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</si>
  <si>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</si>
  <si>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</si>
  <si>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</si>
  <si>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</si>
  <si>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</si>
  <si>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</si>
  <si>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</si>
  <si>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</si>
  <si>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</si>
  <si>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</si>
  <si>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</si>
  <si>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</si>
  <si>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</si>
  <si>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</si>
  <si>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</si>
  <si>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</si>
  <si>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</si>
  <si>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</si>
  <si>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</si>
  <si>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</si>
  <si>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</si>
  <si>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</si>
  <si>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</si>
  <si>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</si>
  <si>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</si>
  <si>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</si>
  <si>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</si>
  <si>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</si>
  <si>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</si>
  <si>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</si>
  <si>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</si>
  <si>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</si>
  <si>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</si>
  <si>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</si>
  <si>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</si>
  <si>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</si>
  <si>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</si>
  <si>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</si>
  <si>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</si>
  <si>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</si>
  <si>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</si>
  <si>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</si>
  <si>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</si>
  <si>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</si>
  <si>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</si>
  <si>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</si>
  <si>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</si>
  <si>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</si>
  <si>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</si>
  <si>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</si>
  <si>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</si>
  <si>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</si>
  <si>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</si>
  <si>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</si>
  <si>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</si>
  <si>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</si>
  <si>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</si>
  <si>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</si>
  <si>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</si>
  <si>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</si>
  <si>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</si>
  <si>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</si>
  <si>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</si>
  <si>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</si>
  <si>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</si>
  <si>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</si>
  <si>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</si>
  <si>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</si>
  <si>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</si>
  <si>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</si>
  <si>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</si>
  <si>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</si>
  <si>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</si>
  <si>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</si>
  <si>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</si>
  <si>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</si>
  <si>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</si>
  <si>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</si>
  <si>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</si>
  <si>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</si>
  <si>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</si>
  <si>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</si>
  <si>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</si>
  <si>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</si>
  <si>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</si>
  <si>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</si>
  <si>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</si>
  <si>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</si>
  <si>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</si>
  <si>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</si>
  <si>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</si>
  <si>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</si>
  <si>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</si>
  <si>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</si>
  <si>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</si>
  <si>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</si>
  <si>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</si>
  <si>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</si>
  <si>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</si>
  <si>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</si>
  <si>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</si>
  <si>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</si>
  <si>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</si>
  <si>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</si>
  <si>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</si>
  <si>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</si>
  <si>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</si>
  <si>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</si>
  <si>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</si>
  <si>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</si>
  <si>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</si>
  <si>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</si>
  <si>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</si>
  <si>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</si>
  <si>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</si>
  <si>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</si>
  <si>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</si>
  <si>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</si>
  <si>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</si>
  <si>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</si>
  <si>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</si>
  <si>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</si>
  <si>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</si>
  <si>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</si>
  <si>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</si>
  <si>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</si>
  <si>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</si>
  <si>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</si>
  <si>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</si>
  <si>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</si>
  <si>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</si>
  <si>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</si>
  <si>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</si>
  <si>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</si>
  <si>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</si>
  <si>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</si>
  <si>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</si>
  <si>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</si>
  <si>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</si>
  <si>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</si>
  <si>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</si>
  <si>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</si>
  <si>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</si>
  <si>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</si>
  <si>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</si>
  <si>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</si>
  <si>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</si>
  <si>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</si>
  <si>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</si>
  <si>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</si>
  <si>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</si>
  <si>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</si>
  <si>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</si>
  <si>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</si>
  <si>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</si>
  <si>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</si>
  <si>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</si>
  <si>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</si>
  <si>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</si>
  <si>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</si>
  <si>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</si>
  <si>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</si>
  <si>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</si>
  <si>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</si>
  <si>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</si>
  <si>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</si>
  <si>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</si>
  <si>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</si>
  <si>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</si>
  <si>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</si>
  <si>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</si>
  <si>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</si>
  <si>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</si>
  <si>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</si>
  <si>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</si>
  <si>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</si>
  <si>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</si>
  <si>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</si>
  <si>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</si>
  <si>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</si>
  <si>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</si>
  <si>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</si>
  <si>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</si>
  <si>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</si>
  <si>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</si>
  <si>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</si>
  <si>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</si>
  <si>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</si>
  <si>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</si>
  <si>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</si>
  <si>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</si>
  <si>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</si>
  <si>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</si>
  <si>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</si>
  <si>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</si>
  <si>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</si>
  <si>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</si>
  <si>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</si>
  <si>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</si>
  <si>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</si>
  <si>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</si>
  <si>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</si>
  <si>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</si>
  <si>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</si>
  <si>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</si>
  <si>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</si>
  <si>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</si>
  <si>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</si>
  <si>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</si>
  <si>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</si>
  <si>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</si>
  <si>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</si>
  <si>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</si>
  <si>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</si>
  <si>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</si>
  <si>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</si>
  <si>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</si>
  <si>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</si>
  <si>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</si>
  <si>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</si>
  <si>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</si>
  <si>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</si>
  <si>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</si>
  <si>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</si>
  <si>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</si>
  <si>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</si>
  <si>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</si>
  <si>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</si>
  <si>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</si>
  <si>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</si>
  <si>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</si>
  <si>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</si>
  <si>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</si>
  <si>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</si>
  <si>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</si>
  <si>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</si>
  <si>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</si>
  <si>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</si>
  <si>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</si>
  <si>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</si>
  <si>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</si>
  <si>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</si>
  <si>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</si>
  <si>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</si>
  <si>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</si>
  <si>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</si>
  <si>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</si>
  <si>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</si>
  <si>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</si>
  <si>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</si>
  <si>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</si>
  <si>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</si>
  <si>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</si>
  <si>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</si>
  <si>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</si>
  <si>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</si>
  <si>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</si>
  <si>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</si>
  <si>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</si>
  <si>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</si>
  <si>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</si>
  <si>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</si>
  <si>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</si>
  <si>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</si>
  <si>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</si>
  <si>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</si>
  <si>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</si>
  <si>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</si>
  <si>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</si>
  <si>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</si>
  <si>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</si>
  <si>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</si>
  <si>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</si>
  <si>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</si>
  <si>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</si>
  <si>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</si>
  <si>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</si>
  <si>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</si>
  <si>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</si>
  <si>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</si>
  <si>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</si>
  <si>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</si>
  <si>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</si>
  <si>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</si>
  <si>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</si>
  <si>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</si>
  <si>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</si>
  <si>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</si>
  <si>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</si>
  <si>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</si>
  <si>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</si>
  <si>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</si>
  <si>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</si>
  <si>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</si>
  <si>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</si>
  <si>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</si>
  <si>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</si>
  <si>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</si>
  <si>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</si>
  <si>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</si>
  <si>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</si>
  <si>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</si>
  <si>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</si>
  <si>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</si>
  <si>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</si>
  <si>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</si>
  <si>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</si>
  <si>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</si>
  <si>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</si>
  <si>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</si>
  <si>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</si>
  <si>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</si>
  <si>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</si>
  <si>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</si>
  <si>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</si>
  <si>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</si>
  <si>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</si>
  <si>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</si>
  <si>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</si>
  <si>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</si>
  <si>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</si>
  <si>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</si>
  <si>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</si>
  <si>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</si>
  <si>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</si>
  <si>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</si>
  <si>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</si>
  <si>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</si>
  <si>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</si>
  <si>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</si>
  <si>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</si>
  <si>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</si>
  <si>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</si>
  <si>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</si>
  <si>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</si>
  <si>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</si>
  <si>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</si>
  <si>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</si>
  <si>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</si>
  <si>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</si>
  <si>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</si>
  <si>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</si>
  <si>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</si>
  <si>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</si>
  <si>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</si>
  <si>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</si>
  <si>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</si>
  <si>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</si>
  <si>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</si>
  <si>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</si>
  <si>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</si>
  <si>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</si>
  <si>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</si>
  <si>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</si>
  <si>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</si>
  <si>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</si>
  <si>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</si>
  <si>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</si>
  <si>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</si>
  <si>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</si>
  <si>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</si>
  <si>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</si>
  <si>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</si>
  <si>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</si>
  <si>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</si>
  <si>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</si>
  <si>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</si>
  <si>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</si>
  <si>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</si>
  <si>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</si>
  <si>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</si>
  <si>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</si>
  <si>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</si>
  <si>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</si>
  <si>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</si>
  <si>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</si>
  <si>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</si>
  <si>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</si>
  <si>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</si>
  <si>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</si>
  <si>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</si>
  <si>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</si>
  <si>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</si>
  <si>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</si>
  <si>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</si>
  <si>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</si>
  <si>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</si>
  <si>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</si>
  <si>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</si>
  <si>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</si>
  <si>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</si>
  <si>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</si>
  <si>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</si>
  <si>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</si>
  <si>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</si>
  <si>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</si>
  <si>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</si>
  <si>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</si>
  <si>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</si>
  <si>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</si>
  <si>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</si>
  <si>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</si>
  <si>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</si>
  <si>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</si>
  <si>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</si>
  <si>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</si>
  <si>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</si>
  <si>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</si>
  <si>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</si>
  <si>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</si>
  <si>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</si>
  <si>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</si>
  <si>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</si>
  <si>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</si>
  <si>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</si>
  <si>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</si>
  <si>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</si>
  <si>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</si>
  <si>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</si>
  <si>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</si>
  <si>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</si>
  <si>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</si>
  <si>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</si>
  <si>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</si>
  <si>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</si>
  <si>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</si>
  <si>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</si>
  <si>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</si>
  <si>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</si>
  <si>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</si>
  <si>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</si>
  <si>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</si>
  <si>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</si>
  <si>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</si>
  <si>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</si>
  <si>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</si>
  <si>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</si>
  <si>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</si>
  <si>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</si>
  <si>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</si>
  <si>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</si>
  <si>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</si>
  <si>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</si>
  <si>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</si>
  <si>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</si>
  <si>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</si>
  <si>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</si>
  <si>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</si>
  <si>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</si>
  <si>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</si>
  <si>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</si>
  <si>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</si>
  <si>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</si>
  <si>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</si>
  <si>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</si>
  <si>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</si>
  <si>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</si>
  <si>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</si>
  <si>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</si>
  <si>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</si>
  <si>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</si>
  <si>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</si>
  <si>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</si>
  <si>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</si>
  <si>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</si>
  <si>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</si>
  <si>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</si>
  <si>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</si>
  <si>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</si>
  <si>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</si>
  <si>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</si>
  <si>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</si>
  <si>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</si>
  <si>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</si>
  <si>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</si>
  <si>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</si>
  <si>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</si>
  <si>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</si>
  <si>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</si>
  <si>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</si>
  <si>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</si>
  <si>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</si>
  <si>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</si>
  <si>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</si>
  <si>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</si>
  <si>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</si>
  <si>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</si>
  <si>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</si>
  <si>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</si>
  <si>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</si>
  <si>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</si>
  <si>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</si>
  <si>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</si>
  <si>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</si>
  <si>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</si>
  <si>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</si>
  <si>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</si>
  <si>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</si>
  <si>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</si>
  <si>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</si>
  <si>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</si>
  <si>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</si>
  <si>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</si>
  <si>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</si>
  <si>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</si>
  <si>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</si>
  <si>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</si>
  <si>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</si>
  <si>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</si>
  <si>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</si>
  <si>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</si>
  <si>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</si>
  <si>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</si>
  <si>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</si>
  <si>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</si>
  <si>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</si>
  <si>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</si>
  <si>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</si>
  <si>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</si>
  <si>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</si>
  <si>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</si>
  <si>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</si>
  <si>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</si>
  <si>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</si>
  <si>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</si>
  <si>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</si>
  <si>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</si>
  <si>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</si>
  <si>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</si>
  <si>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</si>
  <si>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</si>
  <si>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</si>
  <si>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</si>
  <si>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</si>
  <si>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</si>
  <si>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</si>
  <si>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</si>
  <si>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</si>
  <si>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</si>
  <si>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</si>
  <si>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</si>
  <si>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</si>
  <si>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</si>
  <si>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</si>
  <si>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</si>
  <si>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</si>
  <si>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</si>
  <si>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</si>
  <si>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</si>
  <si>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</si>
  <si>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</si>
  <si>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</si>
  <si>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</si>
  <si>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</si>
  <si>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</si>
  <si>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</si>
  <si>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</si>
  <si>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</si>
  <si>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</si>
  <si>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</si>
  <si>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</si>
  <si>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</si>
  <si>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</si>
  <si>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</si>
  <si>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</si>
  <si>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</si>
  <si>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</si>
  <si>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</si>
  <si>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</si>
  <si>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</si>
  <si>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</si>
  <si>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</si>
  <si>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</si>
  <si>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</si>
  <si>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</si>
  <si>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</si>
  <si>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</si>
  <si>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</si>
  <si>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</si>
  <si>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</si>
  <si>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</si>
  <si>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</si>
  <si>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</si>
  <si>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</si>
  <si>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</si>
  <si>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</si>
  <si>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</si>
  <si>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</si>
  <si>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</si>
  <si>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</si>
  <si>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</si>
  <si>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</si>
  <si>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</si>
  <si>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</si>
  <si>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</si>
  <si>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</si>
  <si>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</si>
  <si>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</si>
  <si>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</si>
  <si>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</si>
  <si>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</si>
  <si>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</si>
  <si>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</si>
  <si>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</si>
  <si>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</si>
  <si>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</si>
  <si>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</si>
  <si>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</si>
  <si>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</si>
  <si>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</si>
  <si>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</si>
  <si>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</si>
  <si>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</si>
  <si>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</si>
  <si>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</si>
  <si>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</si>
  <si>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</si>
  <si>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</si>
  <si>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</si>
  <si>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</si>
  <si>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</si>
  <si>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</si>
  <si>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</si>
  <si>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</si>
  <si>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</si>
  <si>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</si>
  <si>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</si>
  <si>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</si>
  <si>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</si>
  <si>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</si>
  <si>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</si>
  <si>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</si>
  <si>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</si>
  <si>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</si>
  <si>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</si>
  <si>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</si>
  <si>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</si>
  <si>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</si>
  <si>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</si>
  <si>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</si>
  <si>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</si>
  <si>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</si>
  <si>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</si>
  <si>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</si>
  <si>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</si>
  <si>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CHESTERFIELD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</si>
</sst>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96" zoomScaleNormal="96" workbookViewId="0">
      <pane xSplit="5" ySplit="3" topLeftCell="F629" activePane="bottomRight" state="frozen"/>
      <selection pane="topRight" activeCell="F1" sqref="F1"/>
      <selection pane="bottomLeft" activeCell="A4" sqref="A4"/>
      <selection pane="bottomRight" activeCell="I665" sqref="I665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95</v>
      </c>
      <c r="C2" s="21">
        <v>95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3623603.98+2000-3168720.75</f>
        <v>456883.23</v>
      </c>
      <c r="G9" s="18">
        <v>4890.79</v>
      </c>
      <c r="H9" s="18">
        <v>768.72</v>
      </c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187691.45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82453.13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37437</v>
      </c>
      <c r="G13" s="18">
        <v>2984.4</v>
      </c>
      <c r="H13" s="18">
        <v>82754.81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4620</v>
      </c>
      <c r="G14" s="18">
        <v>348.76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581393.36</v>
      </c>
      <c r="G19" s="41">
        <f>SUM(G9:G18)</f>
        <v>8223.9500000000007</v>
      </c>
      <c r="H19" s="41">
        <f>SUM(H9:H18)</f>
        <v>83523.53</v>
      </c>
      <c r="I19" s="41">
        <f>SUM(I9:I18)</f>
        <v>0</v>
      </c>
      <c r="J19" s="41">
        <f>SUM(J9:J18)</f>
        <v>187691.45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>
        <v>82453.13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3030.03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22897.4</v>
      </c>
      <c r="G24" s="18"/>
      <c r="H24" s="18">
        <v>328.73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21820.33</v>
      </c>
      <c r="G28" s="18">
        <v>1230.72</v>
      </c>
      <c r="H28" s="18">
        <v>301.68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3049.15</v>
      </c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47747.76</v>
      </c>
      <c r="G32" s="41">
        <f>SUM(G22:G31)</f>
        <v>4279.87</v>
      </c>
      <c r="H32" s="41">
        <f>SUM(H22:H31)</f>
        <v>83083.539999999994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>
        <v>3944.08</v>
      </c>
      <c r="H37" s="18">
        <v>439.99</v>
      </c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85000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>
        <v>129270</v>
      </c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187691.45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319375.59999999998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533645.6</v>
      </c>
      <c r="G51" s="41">
        <f>SUM(G35:G50)</f>
        <v>3944.08</v>
      </c>
      <c r="H51" s="41">
        <f>SUM(H35:H50)</f>
        <v>439.99</v>
      </c>
      <c r="I51" s="41">
        <f>SUM(I35:I50)</f>
        <v>0</v>
      </c>
      <c r="J51" s="41">
        <f>SUM(J35:J50)</f>
        <v>187691.45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581393.36</v>
      </c>
      <c r="G52" s="41">
        <f>G51+G32</f>
        <v>8223.9500000000007</v>
      </c>
      <c r="H52" s="41">
        <f>H51+H32</f>
        <v>83523.53</v>
      </c>
      <c r="I52" s="41">
        <f>I51+I32</f>
        <v>0</v>
      </c>
      <c r="J52" s="41">
        <f>J51+J32</f>
        <v>187691.45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5898125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5898125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v>12003.55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12003.55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525.29999999999995</v>
      </c>
      <c r="G96" s="18"/>
      <c r="H96" s="18"/>
      <c r="I96" s="18"/>
      <c r="J96" s="18">
        <f>408.25+532.16</f>
        <v>940.41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44465.08+12968.6+7168.7+4816.3</f>
        <v>69418.679999999993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54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v>1800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44143.42</v>
      </c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105854.74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12300.3+6295.3</f>
        <v>18595.599999999999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169173.06000000003</v>
      </c>
      <c r="G111" s="41">
        <f>SUM(G96:G110)</f>
        <v>69418.679999999993</v>
      </c>
      <c r="H111" s="41">
        <f>SUM(H96:H110)</f>
        <v>1800</v>
      </c>
      <c r="I111" s="41">
        <f>SUM(I96:I110)</f>
        <v>0</v>
      </c>
      <c r="J111" s="41">
        <f>SUM(J96:J110)</f>
        <v>940.41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6079301.6099999994</v>
      </c>
      <c r="G112" s="41">
        <f>G60+G111</f>
        <v>69418.679999999993</v>
      </c>
      <c r="H112" s="41">
        <f>H60+H79+H94+H111</f>
        <v>1800</v>
      </c>
      <c r="I112" s="41">
        <f>I60+I111</f>
        <v>0</v>
      </c>
      <c r="J112" s="41">
        <f>J60+J111</f>
        <v>940.41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673060.35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1200340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1873400.35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85496.67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1493.58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85496.67</v>
      </c>
      <c r="G136" s="41">
        <f>SUM(G123:G135)</f>
        <v>1493.58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1958897.02</v>
      </c>
      <c r="G140" s="41">
        <f>G121+SUM(G136:G137)</f>
        <v>1493.58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f>107.88+17772.45</f>
        <v>17880.330000000002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1328.49+14245.89+13104.52</f>
        <v>28678.9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37881.57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f>74212.65+542.46</f>
        <v>74755.11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63079.43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63079.43</v>
      </c>
      <c r="G162" s="41">
        <f>SUM(G150:G161)</f>
        <v>37881.57</v>
      </c>
      <c r="H162" s="41">
        <f>SUM(H150:H161)</f>
        <v>121314.34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63079.43</v>
      </c>
      <c r="G169" s="41">
        <f>G147+G162+SUM(G163:G168)</f>
        <v>37881.57</v>
      </c>
      <c r="H169" s="41">
        <f>H147+H162+SUM(H163:H168)</f>
        <v>121314.34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>
        <v>43945</v>
      </c>
      <c r="J179" s="18">
        <f>25000</f>
        <v>25000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43945</v>
      </c>
      <c r="J183" s="41">
        <f>SUM(J179:J182)</f>
        <v>25000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>
        <v>54166</v>
      </c>
      <c r="G185" s="18"/>
      <c r="H185" s="18"/>
      <c r="I185" s="18">
        <v>85000</v>
      </c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54166</v>
      </c>
      <c r="G188" s="41">
        <f>SUM(G185:G187)</f>
        <v>0</v>
      </c>
      <c r="H188" s="41">
        <f>SUM(H185:H187)</f>
        <v>0</v>
      </c>
      <c r="I188" s="41">
        <f>SUM(I185:I187)</f>
        <v>85000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54166</v>
      </c>
      <c r="G192" s="41">
        <f>G183+SUM(G188:G191)</f>
        <v>0</v>
      </c>
      <c r="H192" s="41">
        <f>+H183+SUM(H188:H191)</f>
        <v>0</v>
      </c>
      <c r="I192" s="41">
        <f>I177+I183+SUM(I188:I191)</f>
        <v>128945</v>
      </c>
      <c r="J192" s="41">
        <f>J183</f>
        <v>25000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8155444.0599999987</v>
      </c>
      <c r="G193" s="47">
        <f>G112+G140+G169+G192</f>
        <v>108793.82999999999</v>
      </c>
      <c r="H193" s="47">
        <f>H112+H140+H169+H192</f>
        <v>123114.34</v>
      </c>
      <c r="I193" s="47">
        <f>I112+I140+I169+I192</f>
        <v>128945</v>
      </c>
      <c r="J193" s="47">
        <f>J112+J140+J192</f>
        <v>25940.41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1442153.5</v>
      </c>
      <c r="G197" s="18">
        <v>573639.56000000006</v>
      </c>
      <c r="H197" s="18">
        <v>1160.17</v>
      </c>
      <c r="I197" s="18">
        <v>27739.49</v>
      </c>
      <c r="J197" s="18">
        <v>10364.120000000001</v>
      </c>
      <c r="K197" s="18">
        <v>5753.28</v>
      </c>
      <c r="L197" s="19">
        <f>SUM(F197:K197)</f>
        <v>2060810.12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f>530113.96+9610.12</f>
        <v>539724.07999999996</v>
      </c>
      <c r="G198" s="18">
        <f>309023.44+786.24</f>
        <v>309809.68</v>
      </c>
      <c r="H198" s="18">
        <v>206907.81</v>
      </c>
      <c r="I198" s="18">
        <v>550.88</v>
      </c>
      <c r="J198" s="18">
        <v>1361.79</v>
      </c>
      <c r="K198" s="18"/>
      <c r="L198" s="19">
        <f>SUM(F198:K198)</f>
        <v>1058354.24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f>13402.49+6118.11</f>
        <v>19520.599999999999</v>
      </c>
      <c r="G200" s="18">
        <f>1967.92+779.13</f>
        <v>2747.05</v>
      </c>
      <c r="H200" s="18">
        <v>6516.36</v>
      </c>
      <c r="I200" s="18">
        <f>1436.99+298.43</f>
        <v>1735.42</v>
      </c>
      <c r="J200" s="18">
        <v>722.09</v>
      </c>
      <c r="K200" s="18">
        <v>4398.2</v>
      </c>
      <c r="L200" s="19">
        <f>SUM(F200:K200)</f>
        <v>35639.72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f>53699.88+44872.62+40750.06+53395.94+65978.12</f>
        <v>258696.62</v>
      </c>
      <c r="G202" s="18">
        <f>29646.7+27709.1+3333.46+17064.33+22301.17</f>
        <v>100054.76</v>
      </c>
      <c r="H202" s="18">
        <f>5318+17543.02+6933.4+4803.46+541.65</f>
        <v>35139.53</v>
      </c>
      <c r="I202" s="18">
        <f>1353.23+666.72+122.94+66</f>
        <v>2208.89</v>
      </c>
      <c r="J202" s="18">
        <f>375.54+1289.25+409.52+137.45</f>
        <v>2211.7599999999998</v>
      </c>
      <c r="K202" s="18"/>
      <c r="L202" s="19">
        <f t="shared" ref="L202:L208" si="0">SUM(F202:K202)</f>
        <v>398311.56000000006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f>17305+51560.08</f>
        <v>68865.08</v>
      </c>
      <c r="G203" s="18">
        <f>3864.29+7707.94+24899.42</f>
        <v>36471.649999999994</v>
      </c>
      <c r="H203" s="18">
        <f>12188.84+132+2733.75</f>
        <v>15054.59</v>
      </c>
      <c r="I203" s="18">
        <f>1937.94+8565.05</f>
        <v>10502.99</v>
      </c>
      <c r="J203" s="18">
        <v>512.80999999999995</v>
      </c>
      <c r="K203" s="18">
        <v>72</v>
      </c>
      <c r="L203" s="19">
        <f t="shared" si="0"/>
        <v>131479.12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f>5055+3277</f>
        <v>8332</v>
      </c>
      <c r="G204" s="18">
        <f>413.49+268.06</f>
        <v>681.55</v>
      </c>
      <c r="H204" s="18">
        <f>304.8+300+6466.12+8350+9358.23+150+400517</f>
        <v>425446.15</v>
      </c>
      <c r="I204" s="18">
        <v>733.13</v>
      </c>
      <c r="J204" s="18"/>
      <c r="K204" s="18">
        <v>3970.99</v>
      </c>
      <c r="L204" s="19">
        <f t="shared" si="0"/>
        <v>439163.82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157852.6</v>
      </c>
      <c r="G205" s="18">
        <v>63537.87</v>
      </c>
      <c r="H205" s="18">
        <v>18613.3</v>
      </c>
      <c r="I205" s="18">
        <f>1551.65+1323.26</f>
        <v>2874.91</v>
      </c>
      <c r="J205" s="18"/>
      <c r="K205" s="18">
        <v>750</v>
      </c>
      <c r="L205" s="19">
        <f t="shared" si="0"/>
        <v>243628.68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125995.66</v>
      </c>
      <c r="G207" s="18">
        <v>64504.19</v>
      </c>
      <c r="H207" s="18">
        <v>129528.9</v>
      </c>
      <c r="I207" s="18">
        <v>97956.31</v>
      </c>
      <c r="J207" s="18">
        <v>3092.79</v>
      </c>
      <c r="K207" s="18"/>
      <c r="L207" s="19">
        <f t="shared" si="0"/>
        <v>421077.85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f>210629+62001.3+6274.39+2050</f>
        <v>280954.69</v>
      </c>
      <c r="I208" s="18"/>
      <c r="J208" s="18"/>
      <c r="K208" s="18"/>
      <c r="L208" s="19">
        <f t="shared" si="0"/>
        <v>280954.69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v>1750</v>
      </c>
      <c r="G209" s="18">
        <f>2043.02+390.96</f>
        <v>2433.98</v>
      </c>
      <c r="H209" s="18">
        <f>1545.01+6016.87</f>
        <v>7561.88</v>
      </c>
      <c r="I209" s="18">
        <v>11542.74</v>
      </c>
      <c r="J209" s="18">
        <v>18560.2</v>
      </c>
      <c r="K209" s="18"/>
      <c r="L209" s="19">
        <f>SUM(F209:K209)</f>
        <v>41848.800000000003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2622890.1400000006</v>
      </c>
      <c r="G211" s="41">
        <f t="shared" si="1"/>
        <v>1153880.29</v>
      </c>
      <c r="H211" s="41">
        <f t="shared" si="1"/>
        <v>1126883.3800000001</v>
      </c>
      <c r="I211" s="41">
        <f t="shared" si="1"/>
        <v>155844.75999999998</v>
      </c>
      <c r="J211" s="41">
        <f t="shared" si="1"/>
        <v>36825.56</v>
      </c>
      <c r="K211" s="41">
        <f t="shared" si="1"/>
        <v>14944.47</v>
      </c>
      <c r="L211" s="41">
        <f t="shared" si="1"/>
        <v>5111268.6000000006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1710023.05</v>
      </c>
      <c r="I233" s="18"/>
      <c r="J233" s="18"/>
      <c r="K233" s="18"/>
      <c r="L233" s="19">
        <f>SUM(F233:K233)</f>
        <v>1710023.05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673311.32</v>
      </c>
      <c r="I234" s="18"/>
      <c r="J234" s="18"/>
      <c r="K234" s="18"/>
      <c r="L234" s="19">
        <f>SUM(F234:K234)</f>
        <v>673311.32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f>69676+39868.75</f>
        <v>109544.75</v>
      </c>
      <c r="I244" s="18"/>
      <c r="J244" s="18"/>
      <c r="K244" s="18"/>
      <c r="L244" s="19">
        <f t="shared" si="4"/>
        <v>109544.75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2492879.12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2492879.12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2622890.1400000006</v>
      </c>
      <c r="G257" s="41">
        <f t="shared" si="8"/>
        <v>1153880.29</v>
      </c>
      <c r="H257" s="41">
        <f t="shared" si="8"/>
        <v>3619762.5</v>
      </c>
      <c r="I257" s="41">
        <f t="shared" si="8"/>
        <v>155844.75999999998</v>
      </c>
      <c r="J257" s="41">
        <f t="shared" si="8"/>
        <v>36825.56</v>
      </c>
      <c r="K257" s="41">
        <f t="shared" si="8"/>
        <v>14944.47</v>
      </c>
      <c r="L257" s="41">
        <f t="shared" si="8"/>
        <v>7604147.7200000007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43945</v>
      </c>
      <c r="L265" s="19">
        <f t="shared" si="9"/>
        <v>43945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25000</v>
      </c>
      <c r="L266" s="19">
        <f t="shared" si="9"/>
        <v>25000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68945</v>
      </c>
      <c r="L270" s="41">
        <f t="shared" si="9"/>
        <v>68945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2622890.1400000006</v>
      </c>
      <c r="G271" s="42">
        <f t="shared" si="11"/>
        <v>1153880.29</v>
      </c>
      <c r="H271" s="42">
        <f t="shared" si="11"/>
        <v>3619762.5</v>
      </c>
      <c r="I271" s="42">
        <f t="shared" si="11"/>
        <v>155844.75999999998</v>
      </c>
      <c r="J271" s="42">
        <f t="shared" si="11"/>
        <v>36825.56</v>
      </c>
      <c r="K271" s="42">
        <f t="shared" si="11"/>
        <v>83889.47</v>
      </c>
      <c r="L271" s="42">
        <f t="shared" si="11"/>
        <v>7673092.7200000007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f>14552.59</f>
        <v>14552.59</v>
      </c>
      <c r="G276" s="18">
        <f>1112.97+77.12</f>
        <v>1190.0900000000001</v>
      </c>
      <c r="H276" s="18"/>
      <c r="I276" s="18"/>
      <c r="J276" s="18"/>
      <c r="K276" s="18"/>
      <c r="L276" s="19">
        <f>SUM(F276:K276)</f>
        <v>15742.68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>
        <f>542.46</f>
        <v>542.46</v>
      </c>
      <c r="I277" s="18">
        <f>1212.73+90.25+29</f>
        <v>1331.98</v>
      </c>
      <c r="J277" s="18">
        <v>610.84</v>
      </c>
      <c r="K277" s="18"/>
      <c r="L277" s="19">
        <f>SUM(F277:K277)</f>
        <v>2485.2800000000002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>
        <v>33.82</v>
      </c>
      <c r="J281" s="18"/>
      <c r="K281" s="18"/>
      <c r="L281" s="19">
        <f t="shared" ref="L281:L287" si="12">SUM(F281:K281)</f>
        <v>33.82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>
        <f>695+13705.55+12760+74212.65</f>
        <v>101373.2</v>
      </c>
      <c r="I282" s="18">
        <f>576.28</f>
        <v>576.28</v>
      </c>
      <c r="J282" s="18"/>
      <c r="K282" s="18"/>
      <c r="L282" s="19">
        <f t="shared" si="12"/>
        <v>101949.48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>
        <f>1489</f>
        <v>1489</v>
      </c>
      <c r="I283" s="18"/>
      <c r="J283" s="18"/>
      <c r="K283" s="18"/>
      <c r="L283" s="19">
        <f t="shared" si="12"/>
        <v>1489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f>57.21+107.88+540.34+506.95+344.52</f>
        <v>1556.9</v>
      </c>
      <c r="L285" s="19">
        <f t="shared" si="12"/>
        <v>1556.9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14552.59</v>
      </c>
      <c r="G290" s="42">
        <f t="shared" si="13"/>
        <v>1190.0900000000001</v>
      </c>
      <c r="H290" s="42">
        <f t="shared" si="13"/>
        <v>103404.66</v>
      </c>
      <c r="I290" s="42">
        <f t="shared" si="13"/>
        <v>1942.08</v>
      </c>
      <c r="J290" s="42">
        <f t="shared" si="13"/>
        <v>610.84</v>
      </c>
      <c r="K290" s="42">
        <f t="shared" si="13"/>
        <v>1556.9</v>
      </c>
      <c r="L290" s="41">
        <f t="shared" si="13"/>
        <v>123257.15999999999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14552.59</v>
      </c>
      <c r="G338" s="41">
        <f t="shared" si="20"/>
        <v>1190.0900000000001</v>
      </c>
      <c r="H338" s="41">
        <f t="shared" si="20"/>
        <v>103404.66</v>
      </c>
      <c r="I338" s="41">
        <f t="shared" si="20"/>
        <v>1942.08</v>
      </c>
      <c r="J338" s="41">
        <f t="shared" si="20"/>
        <v>610.84</v>
      </c>
      <c r="K338" s="41">
        <f t="shared" si="20"/>
        <v>1556.9</v>
      </c>
      <c r="L338" s="41">
        <f t="shared" si="20"/>
        <v>123257.15999999999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14552.59</v>
      </c>
      <c r="G352" s="41">
        <f>G338</f>
        <v>1190.0900000000001</v>
      </c>
      <c r="H352" s="41">
        <f>H338</f>
        <v>103404.66</v>
      </c>
      <c r="I352" s="41">
        <f>I338</f>
        <v>1942.08</v>
      </c>
      <c r="J352" s="41">
        <f>J338</f>
        <v>610.84</v>
      </c>
      <c r="K352" s="47">
        <f>K338+K351</f>
        <v>1556.9</v>
      </c>
      <c r="L352" s="41">
        <f>L338+L351</f>
        <v>123257.15999999999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40765.01</v>
      </c>
      <c r="G358" s="18">
        <f>6592.81+573.04+71.96+73.68+3092.37+1399.54</f>
        <v>11803.400000000001</v>
      </c>
      <c r="H358" s="18">
        <f>6000+1236.76</f>
        <v>7236.76</v>
      </c>
      <c r="I358" s="18">
        <f>2650.1+45731.07</f>
        <v>48381.17</v>
      </c>
      <c r="J358" s="18"/>
      <c r="K358" s="18">
        <v>771.25</v>
      </c>
      <c r="L358" s="13">
        <f>SUM(F358:K358)</f>
        <v>108957.59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40765.01</v>
      </c>
      <c r="G362" s="47">
        <f t="shared" si="22"/>
        <v>11803.400000000001</v>
      </c>
      <c r="H362" s="47">
        <f t="shared" si="22"/>
        <v>7236.76</v>
      </c>
      <c r="I362" s="47">
        <f t="shared" si="22"/>
        <v>48381.17</v>
      </c>
      <c r="J362" s="47">
        <f t="shared" si="22"/>
        <v>0</v>
      </c>
      <c r="K362" s="47">
        <f t="shared" si="22"/>
        <v>771.25</v>
      </c>
      <c r="L362" s="47">
        <f t="shared" si="22"/>
        <v>108957.59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45731.07</v>
      </c>
      <c r="G367" s="18"/>
      <c r="H367" s="18"/>
      <c r="I367" s="56">
        <f>SUM(F367:H367)</f>
        <v>45731.07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2650.1</v>
      </c>
      <c r="G368" s="63"/>
      <c r="H368" s="63"/>
      <c r="I368" s="56">
        <f>SUM(F368:H368)</f>
        <v>2650.1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48381.17</v>
      </c>
      <c r="G369" s="47">
        <f>SUM(G367:G368)</f>
        <v>0</v>
      </c>
      <c r="H369" s="47">
        <f>SUM(H367:H368)</f>
        <v>0</v>
      </c>
      <c r="I369" s="47">
        <f>SUM(I367:I368)</f>
        <v>48381.17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>
        <v>105600</v>
      </c>
      <c r="I379" s="18"/>
      <c r="J379" s="18">
        <v>23345</v>
      </c>
      <c r="K379" s="18"/>
      <c r="L379" s="13">
        <f t="shared" si="23"/>
        <v>128945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105600</v>
      </c>
      <c r="I382" s="41">
        <f t="shared" si="24"/>
        <v>0</v>
      </c>
      <c r="J382" s="47">
        <f t="shared" si="24"/>
        <v>23345</v>
      </c>
      <c r="K382" s="47">
        <f t="shared" si="24"/>
        <v>0</v>
      </c>
      <c r="L382" s="47">
        <f t="shared" si="24"/>
        <v>128945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>
        <v>25000</v>
      </c>
      <c r="H389" s="18">
        <v>408.25</v>
      </c>
      <c r="I389" s="18"/>
      <c r="J389" s="24" t="s">
        <v>289</v>
      </c>
      <c r="K389" s="24" t="s">
        <v>289</v>
      </c>
      <c r="L389" s="56">
        <f t="shared" si="25"/>
        <v>25408.25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25000</v>
      </c>
      <c r="H393" s="139">
        <f>SUM(H387:H392)</f>
        <v>408.25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25408.25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>
        <v>532.16</v>
      </c>
      <c r="I398" s="18"/>
      <c r="J398" s="24" t="s">
        <v>289</v>
      </c>
      <c r="K398" s="24" t="s">
        <v>289</v>
      </c>
      <c r="L398" s="56">
        <f t="shared" si="26"/>
        <v>532.16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532.16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532.16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25000</v>
      </c>
      <c r="H408" s="47">
        <f>H393+H401+H407</f>
        <v>940.41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25940.41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>
        <v>142366</v>
      </c>
      <c r="I415" s="18"/>
      <c r="J415" s="18"/>
      <c r="K415" s="18"/>
      <c r="L415" s="56">
        <f t="shared" si="27"/>
        <v>142366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142366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142366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142366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142366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>
        <v>35378.26</v>
      </c>
      <c r="G440" s="18">
        <v>152313.19</v>
      </c>
      <c r="H440" s="18"/>
      <c r="I440" s="56">
        <f t="shared" si="33"/>
        <v>187691.45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35378.26</v>
      </c>
      <c r="G446" s="13">
        <f>SUM(G439:G445)</f>
        <v>152313.19</v>
      </c>
      <c r="H446" s="13">
        <f>SUM(H439:H445)</f>
        <v>0</v>
      </c>
      <c r="I446" s="13">
        <f>SUM(I439:I445)</f>
        <v>187691.45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35378.26</v>
      </c>
      <c r="G459" s="18">
        <v>152313.19</v>
      </c>
      <c r="H459" s="18"/>
      <c r="I459" s="56">
        <f t="shared" si="34"/>
        <v>187691.45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35378.26</v>
      </c>
      <c r="G460" s="83">
        <f>SUM(G454:G459)</f>
        <v>152313.19</v>
      </c>
      <c r="H460" s="83">
        <f>SUM(H454:H459)</f>
        <v>0</v>
      </c>
      <c r="I460" s="83">
        <f>SUM(I454:I459)</f>
        <v>187691.45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35378.26</v>
      </c>
      <c r="G461" s="42">
        <f>G452+G460</f>
        <v>152313.19</v>
      </c>
      <c r="H461" s="42">
        <f>H452+H460</f>
        <v>0</v>
      </c>
      <c r="I461" s="42">
        <f>I452+I460</f>
        <v>187691.45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51294.26</v>
      </c>
      <c r="G465" s="18">
        <v>4107.84</v>
      </c>
      <c r="H465" s="18">
        <v>582.80999999999995</v>
      </c>
      <c r="I465" s="18"/>
      <c r="J465" s="18">
        <v>304117.03999999998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8155444.0599999996</v>
      </c>
      <c r="G468" s="18">
        <v>108793.83</v>
      </c>
      <c r="H468" s="18">
        <v>123114.34</v>
      </c>
      <c r="I468" s="18">
        <v>128945</v>
      </c>
      <c r="J468" s="18">
        <v>25940.41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8155444.0599999996</v>
      </c>
      <c r="G470" s="53">
        <f>SUM(G468:G469)</f>
        <v>108793.83</v>
      </c>
      <c r="H470" s="53">
        <f>SUM(H468:H469)</f>
        <v>123114.34</v>
      </c>
      <c r="I470" s="53">
        <f>SUM(I468:I469)</f>
        <v>128945</v>
      </c>
      <c r="J470" s="53">
        <f>SUM(J468:J469)</f>
        <v>25940.41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7673092.7199999997</v>
      </c>
      <c r="G472" s="18">
        <v>108957.59</v>
      </c>
      <c r="H472" s="18">
        <v>123257.16</v>
      </c>
      <c r="I472" s="18">
        <v>128945</v>
      </c>
      <c r="J472" s="18">
        <v>142366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7673092.7199999997</v>
      </c>
      <c r="G474" s="53">
        <f>SUM(G472:G473)</f>
        <v>108957.59</v>
      </c>
      <c r="H474" s="53">
        <f>SUM(H472:H473)</f>
        <v>123257.16</v>
      </c>
      <c r="I474" s="53">
        <f>SUM(I472:I473)</f>
        <v>128945</v>
      </c>
      <c r="J474" s="53">
        <f>SUM(J472:J473)</f>
        <v>142366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533645.59999999963</v>
      </c>
      <c r="G476" s="53">
        <f>(G465+G470)- G474</f>
        <v>3944.0800000000017</v>
      </c>
      <c r="H476" s="53">
        <f>(H465+H470)- H474</f>
        <v>439.98999999999069</v>
      </c>
      <c r="I476" s="53">
        <f>(I465+I470)- I474</f>
        <v>0</v>
      </c>
      <c r="J476" s="53">
        <f>(J465+J470)- J474</f>
        <v>187691.44999999995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f>164380.36+365733.6</f>
        <v>530113.96</v>
      </c>
      <c r="G521" s="18">
        <f>229220.75+11985.68+1391.55+1801.8+38890.88+22922.44+2810.34</f>
        <v>309023.44</v>
      </c>
      <c r="H521" s="18">
        <f>4193.25+5419.95+119371.81+77922.8+542.46</f>
        <v>207450.27</v>
      </c>
      <c r="I521" s="18">
        <f>261.62+289.26+1212.73+90.25+29</f>
        <v>1882.8600000000001</v>
      </c>
      <c r="J521" s="18">
        <f>1361.79+610.84</f>
        <v>1972.63</v>
      </c>
      <c r="K521" s="18"/>
      <c r="L521" s="88">
        <f>SUM(F521:K521)</f>
        <v>1050443.1599999999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v>673311.32</v>
      </c>
      <c r="I523" s="18"/>
      <c r="J523" s="18"/>
      <c r="K523" s="18"/>
      <c r="L523" s="88">
        <f>SUM(F523:K523)</f>
        <v>673311.32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530113.96</v>
      </c>
      <c r="G524" s="108">
        <f t="shared" ref="G524:L524" si="36">SUM(G521:G523)</f>
        <v>309023.44</v>
      </c>
      <c r="H524" s="108">
        <f t="shared" si="36"/>
        <v>880761.59</v>
      </c>
      <c r="I524" s="108">
        <f t="shared" si="36"/>
        <v>1882.8600000000001</v>
      </c>
      <c r="J524" s="108">
        <f t="shared" si="36"/>
        <v>1972.63</v>
      </c>
      <c r="K524" s="108">
        <f t="shared" si="36"/>
        <v>0</v>
      </c>
      <c r="L524" s="89">
        <f t="shared" si="36"/>
        <v>1723754.48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f>40750.06+53395.94+65978.12</f>
        <v>160124.12</v>
      </c>
      <c r="G526" s="18">
        <f>3117.4+216.06+4289+575+82.08+186.94+4087.62+7560.8+282.89+6910.49+472.15+82.08+230.88+4913.29+9342.58+349.7</f>
        <v>42698.96</v>
      </c>
      <c r="H526" s="18">
        <f>3143+6933.4+4441.91+361.55+541.65+74212.65+2733.75</f>
        <v>92367.909999999989</v>
      </c>
      <c r="I526" s="18">
        <f>666.72+122.94+66</f>
        <v>855.66000000000008</v>
      </c>
      <c r="J526" s="18">
        <f>1289.25+409.52+137.45</f>
        <v>1836.22</v>
      </c>
      <c r="K526" s="18"/>
      <c r="L526" s="88">
        <f>SUM(F526:K526)</f>
        <v>297882.86999999994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160124.12</v>
      </c>
      <c r="G529" s="89">
        <f t="shared" ref="G529:L529" si="37">SUM(G526:G528)</f>
        <v>42698.96</v>
      </c>
      <c r="H529" s="89">
        <f t="shared" si="37"/>
        <v>92367.909999999989</v>
      </c>
      <c r="I529" s="89">
        <f t="shared" si="37"/>
        <v>855.66000000000008</v>
      </c>
      <c r="J529" s="89">
        <f t="shared" si="37"/>
        <v>1836.22</v>
      </c>
      <c r="K529" s="89">
        <f t="shared" si="37"/>
        <v>0</v>
      </c>
      <c r="L529" s="89">
        <f t="shared" si="37"/>
        <v>297882.86999999994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36278</v>
      </c>
      <c r="I531" s="18"/>
      <c r="J531" s="18"/>
      <c r="K531" s="18"/>
      <c r="L531" s="88">
        <f>SUM(F531:K531)</f>
        <v>36278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36278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36278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f>62001.3</f>
        <v>62001.3</v>
      </c>
      <c r="I541" s="18"/>
      <c r="J541" s="18"/>
      <c r="K541" s="18"/>
      <c r="L541" s="88">
        <f>SUM(F541:K541)</f>
        <v>62001.3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39868.75</v>
      </c>
      <c r="I543" s="18"/>
      <c r="J543" s="18"/>
      <c r="K543" s="18"/>
      <c r="L543" s="88">
        <f>SUM(F543:K543)</f>
        <v>39868.75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101870.05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101870.05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690238.08</v>
      </c>
      <c r="G545" s="89">
        <f t="shared" ref="G545:L545" si="41">G524+G529+G534+G539+G544</f>
        <v>351722.4</v>
      </c>
      <c r="H545" s="89">
        <f t="shared" si="41"/>
        <v>1111277.55</v>
      </c>
      <c r="I545" s="89">
        <f t="shared" si="41"/>
        <v>2738.5200000000004</v>
      </c>
      <c r="J545" s="89">
        <f t="shared" si="41"/>
        <v>3808.8500000000004</v>
      </c>
      <c r="K545" s="89">
        <f t="shared" si="41"/>
        <v>0</v>
      </c>
      <c r="L545" s="89">
        <f t="shared" si="41"/>
        <v>2159785.4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1050443.1599999999</v>
      </c>
      <c r="G549" s="87">
        <f>L526</f>
        <v>297882.86999999994</v>
      </c>
      <c r="H549" s="87">
        <f>L531</f>
        <v>36278</v>
      </c>
      <c r="I549" s="87">
        <f>L536</f>
        <v>0</v>
      </c>
      <c r="J549" s="87">
        <f>L541</f>
        <v>62001.3</v>
      </c>
      <c r="K549" s="87">
        <f>SUM(F549:J549)</f>
        <v>1446605.3299999998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673311.32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39868.75</v>
      </c>
      <c r="K551" s="87">
        <f>SUM(F551:J551)</f>
        <v>713180.07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1723754.48</v>
      </c>
      <c r="G552" s="89">
        <f t="shared" si="42"/>
        <v>297882.86999999994</v>
      </c>
      <c r="H552" s="89">
        <f t="shared" si="42"/>
        <v>36278</v>
      </c>
      <c r="I552" s="89">
        <f t="shared" si="42"/>
        <v>0</v>
      </c>
      <c r="J552" s="89">
        <f t="shared" si="42"/>
        <v>101870.05</v>
      </c>
      <c r="K552" s="89">
        <f t="shared" si="42"/>
        <v>2159785.4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>
        <v>1710023.05</v>
      </c>
      <c r="I575" s="87">
        <f>SUM(F575:H575)</f>
        <v>1710023.05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f>5419.95+77922.8+542.46</f>
        <v>83885.210000000006</v>
      </c>
      <c r="G579" s="18"/>
      <c r="H579" s="18">
        <v>544620.53</v>
      </c>
      <c r="I579" s="87">
        <f t="shared" si="47"/>
        <v>628505.74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119371.81</v>
      </c>
      <c r="G582" s="18"/>
      <c r="H582" s="18">
        <v>128690.79</v>
      </c>
      <c r="I582" s="87">
        <f t="shared" si="47"/>
        <v>248062.59999999998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210629</v>
      </c>
      <c r="I591" s="18"/>
      <c r="J591" s="18">
        <v>69676</v>
      </c>
      <c r="K591" s="104">
        <f t="shared" ref="K591:K597" si="48">SUM(H591:J591)</f>
        <v>280305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62001.3</v>
      </c>
      <c r="I592" s="18"/>
      <c r="J592" s="18">
        <v>39868.75</v>
      </c>
      <c r="K592" s="104">
        <f t="shared" si="48"/>
        <v>101870.05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>
        <v>6274.39</v>
      </c>
      <c r="I594" s="18"/>
      <c r="J594" s="18"/>
      <c r="K594" s="104">
        <f t="shared" si="48"/>
        <v>6274.39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2050</v>
      </c>
      <c r="I595" s="18"/>
      <c r="J595" s="18"/>
      <c r="K595" s="104">
        <f t="shared" si="48"/>
        <v>2050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280954.69</v>
      </c>
      <c r="I598" s="108">
        <f>SUM(I591:I597)</f>
        <v>0</v>
      </c>
      <c r="J598" s="108">
        <f>SUM(J591:J597)</f>
        <v>109544.75</v>
      </c>
      <c r="K598" s="108">
        <f>SUM(K591:K597)</f>
        <v>390499.44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37436.400000000001</v>
      </c>
      <c r="I604" s="18"/>
      <c r="J604" s="18"/>
      <c r="K604" s="104">
        <f>SUM(H604:J604)</f>
        <v>37436.400000000001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37436.400000000001</v>
      </c>
      <c r="I605" s="108">
        <f>SUM(I602:I604)</f>
        <v>0</v>
      </c>
      <c r="J605" s="108">
        <f>SUM(J602:J604)</f>
        <v>0</v>
      </c>
      <c r="K605" s="108">
        <f>SUM(K602:K604)</f>
        <v>37436.400000000001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581393.36</v>
      </c>
      <c r="H617" s="109">
        <f>SUM(F52)</f>
        <v>581393.36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8223.9500000000007</v>
      </c>
      <c r="H618" s="109">
        <f>SUM(G52)</f>
        <v>8223.9500000000007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83523.53</v>
      </c>
      <c r="H619" s="109">
        <f>SUM(H52)</f>
        <v>83523.53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187691.45</v>
      </c>
      <c r="H621" s="109">
        <f>SUM(J52)</f>
        <v>187691.45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533645.6</v>
      </c>
      <c r="H622" s="109">
        <f>F476</f>
        <v>533645.59999999963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3944.08</v>
      </c>
      <c r="H623" s="109">
        <f>G476</f>
        <v>3944.0800000000017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439.99</v>
      </c>
      <c r="H624" s="109">
        <f>H476</f>
        <v>439.98999999999069</v>
      </c>
      <c r="I624" s="121" t="s">
        <v>103</v>
      </c>
      <c r="J624" s="109">
        <f t="shared" si="50"/>
        <v>9.3223206931725144E-12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187691.45</v>
      </c>
      <c r="H626" s="109">
        <f>J476</f>
        <v>187691.44999999995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8155444.0599999987</v>
      </c>
      <c r="H627" s="104">
        <f>SUM(F468)</f>
        <v>8155444.0599999996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108793.82999999999</v>
      </c>
      <c r="H628" s="104">
        <f>SUM(G468)</f>
        <v>108793.83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123114.34</v>
      </c>
      <c r="H629" s="104">
        <f>SUM(H468)</f>
        <v>123114.34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128945</v>
      </c>
      <c r="H630" s="104">
        <f>SUM(I468)</f>
        <v>128945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25940.41</v>
      </c>
      <c r="H631" s="104">
        <f>SUM(J468)</f>
        <v>25940.41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7673092.7200000007</v>
      </c>
      <c r="H632" s="104">
        <f>SUM(F472)</f>
        <v>7673092.7199999997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123257.15999999999</v>
      </c>
      <c r="H633" s="104">
        <f>SUM(H472)</f>
        <v>123257.16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48381.17</v>
      </c>
      <c r="H634" s="104">
        <f>I369</f>
        <v>48381.17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108957.59</v>
      </c>
      <c r="H635" s="104">
        <f>SUM(G472)</f>
        <v>108957.59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128945</v>
      </c>
      <c r="H636" s="104">
        <f>SUM(I472)</f>
        <v>128945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25940.41</v>
      </c>
      <c r="H637" s="164">
        <f>SUM(J468)</f>
        <v>25940.41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142366</v>
      </c>
      <c r="H638" s="164">
        <f>SUM(J472)</f>
        <v>142366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35378.26</v>
      </c>
      <c r="H639" s="104">
        <f>SUM(F461)</f>
        <v>35378.26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152313.19</v>
      </c>
      <c r="H640" s="104">
        <f>SUM(G461)</f>
        <v>152313.19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187691.45</v>
      </c>
      <c r="H642" s="104">
        <f>SUM(I461)</f>
        <v>187691.45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940.41</v>
      </c>
      <c r="H644" s="104">
        <f>H408</f>
        <v>940.41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25000</v>
      </c>
      <c r="H645" s="104">
        <f>G408</f>
        <v>25000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25940.41</v>
      </c>
      <c r="H646" s="104">
        <f>L408</f>
        <v>25940.41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390499.44</v>
      </c>
      <c r="H647" s="104">
        <f>L208+L226+L244</f>
        <v>390499.44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37436.400000000001</v>
      </c>
      <c r="H648" s="104">
        <f>(J257+J338)-(J255+J336)</f>
        <v>37436.399999999994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280954.69</v>
      </c>
      <c r="H649" s="104">
        <f>H598</f>
        <v>280954.69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109544.75</v>
      </c>
      <c r="H651" s="104">
        <f>J598</f>
        <v>109544.75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43945</v>
      </c>
      <c r="H654" s="104">
        <f>K265+K346</f>
        <v>43945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25000</v>
      </c>
      <c r="H655" s="104">
        <f>K266+K347</f>
        <v>25000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5343483.3500000006</v>
      </c>
      <c r="G660" s="19">
        <f>(L229+L309+L359)</f>
        <v>0</v>
      </c>
      <c r="H660" s="19">
        <f>(L247+L328+L360)</f>
        <v>2492879.12</v>
      </c>
      <c r="I660" s="19">
        <f>SUM(F660:H660)</f>
        <v>7836362.4700000007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69418.679999999993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69418.679999999993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280954.69</v>
      </c>
      <c r="G662" s="19">
        <f>(L226+L306)-(J226+J306)</f>
        <v>0</v>
      </c>
      <c r="H662" s="19">
        <f>(L244+L325)-(J244+J325)</f>
        <v>109544.75</v>
      </c>
      <c r="I662" s="19">
        <f>SUM(F662:H662)</f>
        <v>390499.44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240693.42</v>
      </c>
      <c r="G663" s="199">
        <f>SUM(G575:G587)+SUM(I602:I604)+L612</f>
        <v>0</v>
      </c>
      <c r="H663" s="199">
        <f>SUM(H575:H587)+SUM(J602:J604)+L613</f>
        <v>2383334.37</v>
      </c>
      <c r="I663" s="19">
        <f>SUM(F663:H663)</f>
        <v>2624027.79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4752416.5600000005</v>
      </c>
      <c r="G664" s="19">
        <f>G660-SUM(G661:G663)</f>
        <v>0</v>
      </c>
      <c r="H664" s="19">
        <f>H660-SUM(H661:H663)</f>
        <v>0</v>
      </c>
      <c r="I664" s="19">
        <f>I660-SUM(I661:I663)</f>
        <v>4752416.5600000005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273.94</v>
      </c>
      <c r="G665" s="248"/>
      <c r="H665" s="248"/>
      <c r="I665" s="19">
        <f>SUM(F665:H665)</f>
        <v>273.94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17348.38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17348.38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17348.38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17348.38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C11" sqref="C1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CHESTERFIELD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1456706.09</v>
      </c>
      <c r="C9" s="229">
        <f>'DOE25'!G197+'DOE25'!G215+'DOE25'!G233+'DOE25'!G276+'DOE25'!G295+'DOE25'!G314</f>
        <v>574829.65</v>
      </c>
    </row>
    <row r="10" spans="1:3" x14ac:dyDescent="0.2">
      <c r="A10" t="s">
        <v>779</v>
      </c>
      <c r="B10" s="240">
        <v>1389512.15</v>
      </c>
      <c r="C10" s="240">
        <v>568945.6</v>
      </c>
    </row>
    <row r="11" spans="1:3" x14ac:dyDescent="0.2">
      <c r="A11" t="s">
        <v>780</v>
      </c>
      <c r="B11" s="240">
        <v>14917.71</v>
      </c>
      <c r="C11" s="240">
        <v>5884.05</v>
      </c>
    </row>
    <row r="12" spans="1:3" x14ac:dyDescent="0.2">
      <c r="A12" t="s">
        <v>781</v>
      </c>
      <c r="B12" s="240">
        <v>52276.23</v>
      </c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1456706.0899999999</v>
      </c>
      <c r="C13" s="231">
        <f>SUM(C10:C12)</f>
        <v>574829.65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539724.07999999996</v>
      </c>
      <c r="C18" s="229">
        <f>'DOE25'!G198+'DOE25'!G216+'DOE25'!G234+'DOE25'!G277+'DOE25'!G296+'DOE25'!G315</f>
        <v>309809.68</v>
      </c>
    </row>
    <row r="19" spans="1:3" x14ac:dyDescent="0.2">
      <c r="A19" t="s">
        <v>779</v>
      </c>
      <c r="B19" s="240">
        <v>173990.48</v>
      </c>
      <c r="C19" s="240">
        <v>99873.13</v>
      </c>
    </row>
    <row r="20" spans="1:3" x14ac:dyDescent="0.2">
      <c r="A20" t="s">
        <v>780</v>
      </c>
      <c r="B20" s="240">
        <v>365733.6</v>
      </c>
      <c r="C20" s="240">
        <v>209936.55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539724.07999999996</v>
      </c>
      <c r="C22" s="231">
        <f>SUM(C19:C21)</f>
        <v>309809.68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19520.599999999999</v>
      </c>
      <c r="C36" s="235">
        <f>'DOE25'!G200+'DOE25'!G218+'DOE25'!G236+'DOE25'!G279+'DOE25'!G298+'DOE25'!G317</f>
        <v>2747.05</v>
      </c>
    </row>
    <row r="37" spans="1:3" x14ac:dyDescent="0.2">
      <c r="A37" t="s">
        <v>779</v>
      </c>
      <c r="B37" s="240">
        <v>18600.599999999999</v>
      </c>
      <c r="C37" s="240">
        <v>2617.58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>
        <v>920</v>
      </c>
      <c r="C39" s="240">
        <v>129.47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19520.599999999999</v>
      </c>
      <c r="C40" s="231">
        <f>SUM(C37:C39)</f>
        <v>2747.0499999999997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CHESTERFIELD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5538138.4500000011</v>
      </c>
      <c r="D5" s="20">
        <f>SUM('DOE25'!L197:L200)+SUM('DOE25'!L215:L218)+SUM('DOE25'!L233:L236)-F5-G5</f>
        <v>5515538.9700000007</v>
      </c>
      <c r="E5" s="243"/>
      <c r="F5" s="255">
        <f>SUM('DOE25'!J197:J200)+SUM('DOE25'!J215:J218)+SUM('DOE25'!J233:J236)</f>
        <v>12448</v>
      </c>
      <c r="G5" s="53">
        <f>SUM('DOE25'!K197:K200)+SUM('DOE25'!K215:K218)+SUM('DOE25'!K233:K236)</f>
        <v>10151.48</v>
      </c>
      <c r="H5" s="259"/>
    </row>
    <row r="6" spans="1:9" x14ac:dyDescent="0.2">
      <c r="A6" s="32">
        <v>2100</v>
      </c>
      <c r="B6" t="s">
        <v>801</v>
      </c>
      <c r="C6" s="245">
        <f t="shared" si="0"/>
        <v>398311.56000000006</v>
      </c>
      <c r="D6" s="20">
        <f>'DOE25'!L202+'DOE25'!L220+'DOE25'!L238-F6-G6</f>
        <v>396099.80000000005</v>
      </c>
      <c r="E6" s="243"/>
      <c r="F6" s="255">
        <f>'DOE25'!J202+'DOE25'!J220+'DOE25'!J238</f>
        <v>2211.7599999999998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131479.12</v>
      </c>
      <c r="D7" s="20">
        <f>'DOE25'!L203+'DOE25'!L221+'DOE25'!L239-F7-G7</f>
        <v>130894.31</v>
      </c>
      <c r="E7" s="243"/>
      <c r="F7" s="255">
        <f>'DOE25'!J203+'DOE25'!J221+'DOE25'!J239</f>
        <v>512.80999999999995</v>
      </c>
      <c r="G7" s="53">
        <f>'DOE25'!K203+'DOE25'!K221+'DOE25'!K239</f>
        <v>72</v>
      </c>
      <c r="H7" s="259"/>
    </row>
    <row r="8" spans="1:9" x14ac:dyDescent="0.2">
      <c r="A8" s="32">
        <v>2300</v>
      </c>
      <c r="B8" t="s">
        <v>802</v>
      </c>
      <c r="C8" s="245">
        <f t="shared" si="0"/>
        <v>328732</v>
      </c>
      <c r="D8" s="243"/>
      <c r="E8" s="20">
        <f>'DOE25'!L204+'DOE25'!L222+'DOE25'!L240-F8-G8-D9-D11</f>
        <v>324761.01</v>
      </c>
      <c r="F8" s="255">
        <f>'DOE25'!J204+'DOE25'!J222+'DOE25'!J240</f>
        <v>0</v>
      </c>
      <c r="G8" s="53">
        <f>'DOE25'!K204+'DOE25'!K222+'DOE25'!K240</f>
        <v>3970.99</v>
      </c>
      <c r="H8" s="259"/>
    </row>
    <row r="9" spans="1:9" x14ac:dyDescent="0.2">
      <c r="A9" s="32">
        <v>2310</v>
      </c>
      <c r="B9" t="s">
        <v>818</v>
      </c>
      <c r="C9" s="245">
        <f t="shared" si="0"/>
        <v>30296.82</v>
      </c>
      <c r="D9" s="244">
        <f>38646.82-8350</f>
        <v>30296.82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8350</v>
      </c>
      <c r="D10" s="243"/>
      <c r="E10" s="244">
        <v>8350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80135</v>
      </c>
      <c r="D11" s="244">
        <v>80135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243628.68</v>
      </c>
      <c r="D12" s="20">
        <f>'DOE25'!L205+'DOE25'!L223+'DOE25'!L241-F12-G12</f>
        <v>242878.68</v>
      </c>
      <c r="E12" s="243"/>
      <c r="F12" s="255">
        <f>'DOE25'!J205+'DOE25'!J223+'DOE25'!J241</f>
        <v>0</v>
      </c>
      <c r="G12" s="53">
        <f>'DOE25'!K205+'DOE25'!K223+'DOE25'!K241</f>
        <v>750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421077.85</v>
      </c>
      <c r="D14" s="20">
        <f>'DOE25'!L207+'DOE25'!L225+'DOE25'!L243-F14-G14</f>
        <v>417985.06</v>
      </c>
      <c r="E14" s="243"/>
      <c r="F14" s="255">
        <f>'DOE25'!J207+'DOE25'!J225+'DOE25'!J243</f>
        <v>3092.79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390499.44</v>
      </c>
      <c r="D15" s="20">
        <f>'DOE25'!L208+'DOE25'!L226+'DOE25'!L244-F15-G15</f>
        <v>390499.44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41848.800000000003</v>
      </c>
      <c r="D16" s="243"/>
      <c r="E16" s="20">
        <f>'DOE25'!L209+'DOE25'!L227+'DOE25'!L245-F16-G16</f>
        <v>23288.600000000002</v>
      </c>
      <c r="F16" s="255">
        <f>'DOE25'!J209+'DOE25'!J227+'DOE25'!J245</f>
        <v>18560.2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63226.52</v>
      </c>
      <c r="D29" s="20">
        <f>'DOE25'!L358+'DOE25'!L359+'DOE25'!L360-'DOE25'!I367-F29-G29</f>
        <v>62455.27</v>
      </c>
      <c r="E29" s="243"/>
      <c r="F29" s="255">
        <f>'DOE25'!J358+'DOE25'!J359+'DOE25'!J360</f>
        <v>0</v>
      </c>
      <c r="G29" s="53">
        <f>'DOE25'!K358+'DOE25'!K359+'DOE25'!K360</f>
        <v>771.25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123257.15999999999</v>
      </c>
      <c r="D31" s="20">
        <f>'DOE25'!L290+'DOE25'!L309+'DOE25'!L328+'DOE25'!L333+'DOE25'!L334+'DOE25'!L335-F31-G31</f>
        <v>121089.42</v>
      </c>
      <c r="E31" s="243"/>
      <c r="F31" s="255">
        <f>'DOE25'!J290+'DOE25'!J309+'DOE25'!J328+'DOE25'!J333+'DOE25'!J334+'DOE25'!J335</f>
        <v>610.84</v>
      </c>
      <c r="G31" s="53">
        <f>'DOE25'!K290+'DOE25'!K309+'DOE25'!K328+'DOE25'!K333+'DOE25'!K334+'DOE25'!K335</f>
        <v>1556.9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7387872.7699999996</v>
      </c>
      <c r="E33" s="246">
        <f>SUM(E5:E31)</f>
        <v>356399.61</v>
      </c>
      <c r="F33" s="246">
        <f>SUM(F5:F31)</f>
        <v>37436.399999999994</v>
      </c>
      <c r="G33" s="246">
        <f>SUM(G5:G31)</f>
        <v>17272.62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356399.61</v>
      </c>
      <c r="E35" s="249"/>
    </row>
    <row r="36" spans="2:8" ht="12" thickTop="1" x14ac:dyDescent="0.2">
      <c r="B36" t="s">
        <v>815</v>
      </c>
      <c r="D36" s="20">
        <f>D33</f>
        <v>7387872.7699999996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CHESTERFIELD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456883.23</v>
      </c>
      <c r="D8" s="95">
        <f>'DOE25'!G9</f>
        <v>4890.79</v>
      </c>
      <c r="E8" s="95">
        <f>'DOE25'!H9</f>
        <v>768.72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187691.45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82453.13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37437</v>
      </c>
      <c r="D12" s="95">
        <f>'DOE25'!G13</f>
        <v>2984.4</v>
      </c>
      <c r="E12" s="95">
        <f>'DOE25'!H13</f>
        <v>82754.81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4620</v>
      </c>
      <c r="D13" s="95">
        <f>'DOE25'!G14</f>
        <v>348.76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581393.36</v>
      </c>
      <c r="D18" s="41">
        <f>SUM(D8:D17)</f>
        <v>8223.9500000000007</v>
      </c>
      <c r="E18" s="41">
        <f>SUM(E8:E17)</f>
        <v>83523.53</v>
      </c>
      <c r="F18" s="41">
        <f>SUM(F8:F17)</f>
        <v>0</v>
      </c>
      <c r="G18" s="41">
        <f>SUM(G8:G17)</f>
        <v>187691.45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82453.13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3030.03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22897.4</v>
      </c>
      <c r="D23" s="95">
        <f>'DOE25'!G24</f>
        <v>0</v>
      </c>
      <c r="E23" s="95">
        <f>'DOE25'!H24</f>
        <v>328.73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21820.33</v>
      </c>
      <c r="D27" s="95">
        <f>'DOE25'!G28</f>
        <v>1230.72</v>
      </c>
      <c r="E27" s="95">
        <f>'DOE25'!H28</f>
        <v>301.68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3049.15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47747.76</v>
      </c>
      <c r="D31" s="41">
        <f>SUM(D21:D30)</f>
        <v>4279.87</v>
      </c>
      <c r="E31" s="41">
        <f>SUM(E21:E30)</f>
        <v>83083.539999999994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3944.08</v>
      </c>
      <c r="E36" s="95">
        <f>'DOE25'!H37</f>
        <v>439.99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85000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129270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187691.45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319375.59999999998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533645.6</v>
      </c>
      <c r="D50" s="41">
        <f>SUM(D34:D49)</f>
        <v>3944.08</v>
      </c>
      <c r="E50" s="41">
        <f>SUM(E34:E49)</f>
        <v>439.99</v>
      </c>
      <c r="F50" s="41">
        <f>SUM(F34:F49)</f>
        <v>0</v>
      </c>
      <c r="G50" s="41">
        <f>SUM(G34:G49)</f>
        <v>187691.45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581393.36</v>
      </c>
      <c r="D51" s="41">
        <f>D50+D31</f>
        <v>8223.9500000000007</v>
      </c>
      <c r="E51" s="41">
        <f>E50+E31</f>
        <v>83523.53</v>
      </c>
      <c r="F51" s="41">
        <f>F50+F31</f>
        <v>0</v>
      </c>
      <c r="G51" s="41">
        <f>G50+G31</f>
        <v>187691.45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5898125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12003.55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525.29999999999995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940.41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69418.679999999993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168647.76</v>
      </c>
      <c r="D61" s="95">
        <f>SUM('DOE25'!G98:G110)</f>
        <v>0</v>
      </c>
      <c r="E61" s="95">
        <f>SUM('DOE25'!H98:H110)</f>
        <v>1800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181176.61000000002</v>
      </c>
      <c r="D62" s="130">
        <f>SUM(D57:D61)</f>
        <v>69418.679999999993</v>
      </c>
      <c r="E62" s="130">
        <f>SUM(E57:E61)</f>
        <v>1800</v>
      </c>
      <c r="F62" s="130">
        <f>SUM(F57:F61)</f>
        <v>0</v>
      </c>
      <c r="G62" s="130">
        <f>SUM(G57:G61)</f>
        <v>940.41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6079301.6100000003</v>
      </c>
      <c r="D63" s="22">
        <f>D56+D62</f>
        <v>69418.679999999993</v>
      </c>
      <c r="E63" s="22">
        <f>E56+E62</f>
        <v>1800</v>
      </c>
      <c r="F63" s="22">
        <f>F56+F62</f>
        <v>0</v>
      </c>
      <c r="G63" s="22">
        <f>G56+G62</f>
        <v>940.41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673060.35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1200340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1873400.35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85496.67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1493.58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85496.67</v>
      </c>
      <c r="D78" s="130">
        <f>SUM(D72:D77)</f>
        <v>1493.58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1958897.02</v>
      </c>
      <c r="D81" s="130">
        <f>SUM(D79:D80)+D78+D70</f>
        <v>1493.58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63079.43</v>
      </c>
      <c r="D88" s="95">
        <f>SUM('DOE25'!G153:G161)</f>
        <v>37881.57</v>
      </c>
      <c r="E88" s="95">
        <f>SUM('DOE25'!H153:H161)</f>
        <v>121314.34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63079.43</v>
      </c>
      <c r="D91" s="131">
        <f>SUM(D85:D90)</f>
        <v>37881.57</v>
      </c>
      <c r="E91" s="131">
        <f>SUM(E85:E90)</f>
        <v>121314.34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43945</v>
      </c>
      <c r="G96" s="95">
        <f>'DOE25'!J179</f>
        <v>25000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54166</v>
      </c>
      <c r="D99" s="95">
        <f>'DOE25'!G185</f>
        <v>0</v>
      </c>
      <c r="E99" s="95">
        <f>'DOE25'!H185</f>
        <v>0</v>
      </c>
      <c r="F99" s="95">
        <f>'DOE25'!I185</f>
        <v>85000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54166</v>
      </c>
      <c r="D103" s="86">
        <f>SUM(D93:D102)</f>
        <v>0</v>
      </c>
      <c r="E103" s="86">
        <f>SUM(E93:E102)</f>
        <v>0</v>
      </c>
      <c r="F103" s="86">
        <f>SUM(F93:F102)</f>
        <v>128945</v>
      </c>
      <c r="G103" s="86">
        <f>SUM(G93:G102)</f>
        <v>25000</v>
      </c>
    </row>
    <row r="104" spans="1:7" ht="12.75" thickTop="1" thickBot="1" x14ac:dyDescent="0.25">
      <c r="A104" s="33" t="s">
        <v>765</v>
      </c>
      <c r="C104" s="86">
        <f>C63+C81+C91+C103</f>
        <v>8155444.0600000005</v>
      </c>
      <c r="D104" s="86">
        <f>D63+D81+D91+D103</f>
        <v>108793.82999999999</v>
      </c>
      <c r="E104" s="86">
        <f>E63+E81+E91+E103</f>
        <v>123114.34</v>
      </c>
      <c r="F104" s="86">
        <f>F63+F81+F91+F103</f>
        <v>128945</v>
      </c>
      <c r="G104" s="86">
        <f>G63+G81+G103</f>
        <v>25940.41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3770833.17</v>
      </c>
      <c r="D109" s="24" t="s">
        <v>289</v>
      </c>
      <c r="E109" s="95">
        <f>('DOE25'!L276)+('DOE25'!L295)+('DOE25'!L314)</f>
        <v>15742.68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1731665.56</v>
      </c>
      <c r="D110" s="24" t="s">
        <v>289</v>
      </c>
      <c r="E110" s="95">
        <f>('DOE25'!L277)+('DOE25'!L296)+('DOE25'!L315)</f>
        <v>2485.2800000000002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35639.72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5538138.4500000002</v>
      </c>
      <c r="D115" s="86">
        <f>SUM(D109:D114)</f>
        <v>0</v>
      </c>
      <c r="E115" s="86">
        <f>SUM(E109:E114)</f>
        <v>18227.96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398311.56000000006</v>
      </c>
      <c r="D118" s="24" t="s">
        <v>289</v>
      </c>
      <c r="E118" s="95">
        <f>+('DOE25'!L281)+('DOE25'!L300)+('DOE25'!L319)</f>
        <v>33.82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131479.12</v>
      </c>
      <c r="D119" s="24" t="s">
        <v>289</v>
      </c>
      <c r="E119" s="95">
        <f>+('DOE25'!L282)+('DOE25'!L301)+('DOE25'!L320)</f>
        <v>101949.48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439163.82</v>
      </c>
      <c r="D120" s="24" t="s">
        <v>289</v>
      </c>
      <c r="E120" s="95">
        <f>+('DOE25'!L283)+('DOE25'!L302)+('DOE25'!L321)</f>
        <v>1489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243628.68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1556.9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421077.85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390499.44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41848.800000000003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108957.59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2066009.2699999998</v>
      </c>
      <c r="D128" s="86">
        <f>SUM(D118:D127)</f>
        <v>108957.59</v>
      </c>
      <c r="E128" s="86">
        <f>SUM(E118:E127)</f>
        <v>105029.2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128945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43945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25408.25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532.16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-940.40999999999985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68945</v>
      </c>
      <c r="D144" s="141">
        <f>SUM(D130:D143)</f>
        <v>0</v>
      </c>
      <c r="E144" s="141">
        <f>SUM(E130:E143)</f>
        <v>0</v>
      </c>
      <c r="F144" s="141">
        <f>SUM(F130:F143)</f>
        <v>128945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7673092.7199999997</v>
      </c>
      <c r="D145" s="86">
        <f>(D115+D128+D144)</f>
        <v>108957.59</v>
      </c>
      <c r="E145" s="86">
        <f>(E115+E128+E144)</f>
        <v>123257.16</v>
      </c>
      <c r="F145" s="86">
        <f>(F115+F128+F144)</f>
        <v>128945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CHESTERFIELD SCHOOL DISTRICT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17348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17348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3786576</v>
      </c>
      <c r="D10" s="182">
        <f>ROUND((C10/$C$28)*100,1)</f>
        <v>48.8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1734151</v>
      </c>
      <c r="D11" s="182">
        <f>ROUND((C11/$C$28)*100,1)</f>
        <v>22.3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35640</v>
      </c>
      <c r="D13" s="182">
        <f>ROUND((C13/$C$28)*100,1)</f>
        <v>0.5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398345</v>
      </c>
      <c r="D15" s="182">
        <f t="shared" ref="D15:D27" si="0">ROUND((C15/$C$28)*100,1)</f>
        <v>5.0999999999999996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233429</v>
      </c>
      <c r="D16" s="182">
        <f t="shared" si="0"/>
        <v>3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482502</v>
      </c>
      <c r="D17" s="182">
        <f t="shared" si="0"/>
        <v>6.2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243629</v>
      </c>
      <c r="D18" s="182">
        <f t="shared" si="0"/>
        <v>3.1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1557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421078</v>
      </c>
      <c r="D20" s="182">
        <f t="shared" si="0"/>
        <v>5.4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390499</v>
      </c>
      <c r="D21" s="182">
        <f t="shared" si="0"/>
        <v>5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39539.320000000007</v>
      </c>
      <c r="D27" s="182">
        <f t="shared" si="0"/>
        <v>0.5</v>
      </c>
    </row>
    <row r="28" spans="1:4" x14ac:dyDescent="0.2">
      <c r="B28" s="187" t="s">
        <v>723</v>
      </c>
      <c r="C28" s="180">
        <f>SUM(C10:C27)</f>
        <v>7766945.3200000003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128945</v>
      </c>
    </row>
    <row r="30" spans="1:4" x14ac:dyDescent="0.2">
      <c r="B30" s="187" t="s">
        <v>729</v>
      </c>
      <c r="C30" s="180">
        <f>SUM(C28:C29)</f>
        <v>7895890.3200000003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5898125</v>
      </c>
      <c r="D35" s="182">
        <f t="shared" ref="D35:D40" si="1">ROUND((C35/$C$41)*100,1)</f>
        <v>71.400000000000006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183917.01999999955</v>
      </c>
      <c r="D36" s="182">
        <f t="shared" si="1"/>
        <v>2.2000000000000002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1873400</v>
      </c>
      <c r="D37" s="182">
        <f t="shared" si="1"/>
        <v>22.7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86990</v>
      </c>
      <c r="D38" s="182">
        <f t="shared" si="1"/>
        <v>1.1000000000000001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222275</v>
      </c>
      <c r="D39" s="182">
        <f t="shared" si="1"/>
        <v>2.7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8264707.0199999996</v>
      </c>
      <c r="D41" s="184">
        <f>SUM(D35:D40)</f>
        <v>100.10000000000001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CHESTERFIELD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3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2015-05-12T14:17:11Z</cp:lastPrinted>
  <dcterms:created xsi:type="dcterms:W3CDTF">1997-12-04T19:04:30Z</dcterms:created>
  <dcterms:modified xsi:type="dcterms:W3CDTF">2015-10-23T17:37:21Z</dcterms:modified>
</cp:coreProperties>
</file>