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120" windowWidth="16605" windowHeight="802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H582" i="1" l="1"/>
  <c r="G582" i="1"/>
  <c r="F582" i="1"/>
  <c r="H491" i="1" l="1"/>
  <c r="G502" i="1"/>
  <c r="G499" i="1"/>
  <c r="G498" i="1"/>
  <c r="F499" i="1"/>
  <c r="H244" i="1" l="1"/>
  <c r="H234" i="1"/>
  <c r="H226" i="1"/>
  <c r="H216" i="1"/>
  <c r="H198" i="1"/>
  <c r="H208" i="1"/>
  <c r="F48" i="1" l="1"/>
  <c r="H465" i="1" l="1"/>
  <c r="G320" i="1" l="1"/>
  <c r="I48" i="1"/>
  <c r="H28" i="1" l="1"/>
  <c r="G158" i="1" l="1"/>
  <c r="G48" i="1"/>
  <c r="G465" i="1" l="1"/>
  <c r="F465" i="1"/>
  <c r="H367" i="1"/>
  <c r="G367" i="1"/>
  <c r="G368" i="1"/>
  <c r="F367" i="1"/>
  <c r="G132" i="1"/>
  <c r="G97" i="1"/>
  <c r="G35" i="1"/>
  <c r="F35" i="1" l="1"/>
  <c r="F28" i="1"/>
  <c r="F14" i="1"/>
  <c r="F9" i="1"/>
  <c r="F110" i="1"/>
  <c r="F109" i="1" l="1"/>
  <c r="F498" i="1" l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F14" i="13"/>
  <c r="G14" i="13"/>
  <c r="L207" i="1"/>
  <c r="L225" i="1"/>
  <c r="D14" i="13" s="1"/>
  <c r="C14" i="13" s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E118" i="2" s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L342" i="1"/>
  <c r="L255" i="1"/>
  <c r="L336" i="1"/>
  <c r="F22" i="13" s="1"/>
  <c r="C22" i="13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56" i="2" s="1"/>
  <c r="F79" i="1"/>
  <c r="C57" i="2" s="1"/>
  <c r="F94" i="1"/>
  <c r="C58" i="2" s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E113" i="2" s="1"/>
  <c r="L254" i="1"/>
  <c r="L268" i="1"/>
  <c r="C142" i="2" s="1"/>
  <c r="L269" i="1"/>
  <c r="L349" i="1"/>
  <c r="E142" i="2" s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E57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D115" i="2"/>
  <c r="F115" i="2"/>
  <c r="G115" i="2"/>
  <c r="C125" i="2"/>
  <c r="F128" i="2"/>
  <c r="G128" i="2"/>
  <c r="C130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F32" i="1"/>
  <c r="G32" i="1"/>
  <c r="G52" i="1" s="1"/>
  <c r="H618" i="1" s="1"/>
  <c r="I32" i="1"/>
  <c r="H51" i="1"/>
  <c r="G624" i="1" s="1"/>
  <c r="I51" i="1"/>
  <c r="F177" i="1"/>
  <c r="I177" i="1"/>
  <c r="F183" i="1"/>
  <c r="G183" i="1"/>
  <c r="H183" i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H408" i="1" s="1"/>
  <c r="H644" i="1" s="1"/>
  <c r="I393" i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G460" i="1"/>
  <c r="H460" i="1"/>
  <c r="H461" i="1" s="1"/>
  <c r="H641" i="1" s="1"/>
  <c r="F470" i="1"/>
  <c r="J470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L570" i="1" s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3" i="1"/>
  <c r="H627" i="1"/>
  <c r="H631" i="1"/>
  <c r="H637" i="1"/>
  <c r="H638" i="1"/>
  <c r="G641" i="1"/>
  <c r="G643" i="1"/>
  <c r="G644" i="1"/>
  <c r="G645" i="1"/>
  <c r="G650" i="1"/>
  <c r="G652" i="1"/>
  <c r="H652" i="1"/>
  <c r="G653" i="1"/>
  <c r="H653" i="1"/>
  <c r="G654" i="1"/>
  <c r="H654" i="1"/>
  <c r="H655" i="1"/>
  <c r="J655" i="1" s="1"/>
  <c r="D19" i="13"/>
  <c r="C19" i="13" s="1"/>
  <c r="I169" i="1"/>
  <c r="J140" i="1"/>
  <c r="F571" i="1"/>
  <c r="K605" i="1" l="1"/>
  <c r="G648" i="1" s="1"/>
  <c r="F552" i="1"/>
  <c r="I552" i="1"/>
  <c r="J338" i="1"/>
  <c r="J352" i="1" s="1"/>
  <c r="J552" i="1"/>
  <c r="G545" i="1"/>
  <c r="L433" i="1"/>
  <c r="E130" i="2"/>
  <c r="G81" i="2"/>
  <c r="K549" i="1"/>
  <c r="F130" i="2"/>
  <c r="F144" i="2" s="1"/>
  <c r="F145" i="2" s="1"/>
  <c r="L565" i="1"/>
  <c r="L539" i="1"/>
  <c r="G461" i="1"/>
  <c r="H640" i="1" s="1"/>
  <c r="L256" i="1"/>
  <c r="E103" i="2"/>
  <c r="D50" i="2"/>
  <c r="H552" i="1"/>
  <c r="D17" i="13"/>
  <c r="C17" i="13" s="1"/>
  <c r="E125" i="2"/>
  <c r="H662" i="1"/>
  <c r="E123" i="2"/>
  <c r="E111" i="2"/>
  <c r="C124" i="2"/>
  <c r="G651" i="1"/>
  <c r="J651" i="1" s="1"/>
  <c r="G662" i="1"/>
  <c r="C119" i="2"/>
  <c r="C118" i="2"/>
  <c r="H192" i="1"/>
  <c r="I52" i="1"/>
  <c r="H620" i="1" s="1"/>
  <c r="H338" i="1"/>
  <c r="H352" i="1" s="1"/>
  <c r="D31" i="2"/>
  <c r="D51" i="2" s="1"/>
  <c r="E122" i="2"/>
  <c r="C111" i="2"/>
  <c r="K571" i="1"/>
  <c r="L560" i="1"/>
  <c r="G161" i="2"/>
  <c r="E121" i="2"/>
  <c r="D18" i="13"/>
  <c r="C18" i="13" s="1"/>
  <c r="E120" i="2"/>
  <c r="L614" i="1"/>
  <c r="I571" i="1"/>
  <c r="L524" i="1"/>
  <c r="L382" i="1"/>
  <c r="J634" i="1"/>
  <c r="H140" i="1"/>
  <c r="G62" i="2"/>
  <c r="G63" i="2" s="1"/>
  <c r="L393" i="1"/>
  <c r="C138" i="2" s="1"/>
  <c r="E114" i="2"/>
  <c r="L328" i="1"/>
  <c r="E110" i="2"/>
  <c r="E119" i="2"/>
  <c r="L229" i="1"/>
  <c r="J571" i="1"/>
  <c r="A31" i="12"/>
  <c r="J641" i="1"/>
  <c r="H571" i="1"/>
  <c r="F408" i="1"/>
  <c r="H643" i="1" s="1"/>
  <c r="J643" i="1" s="1"/>
  <c r="E13" i="13"/>
  <c r="C13" i="13" s="1"/>
  <c r="I408" i="1"/>
  <c r="I257" i="1"/>
  <c r="I271" i="1" s="1"/>
  <c r="L351" i="1"/>
  <c r="C29" i="10"/>
  <c r="J644" i="1"/>
  <c r="J545" i="1"/>
  <c r="I545" i="1"/>
  <c r="K503" i="1"/>
  <c r="F78" i="2"/>
  <c r="F81" i="2" s="1"/>
  <c r="D62" i="2"/>
  <c r="K551" i="1"/>
  <c r="F661" i="1"/>
  <c r="K545" i="1"/>
  <c r="H545" i="1"/>
  <c r="J640" i="1"/>
  <c r="L419" i="1"/>
  <c r="G338" i="1"/>
  <c r="G352" i="1" s="1"/>
  <c r="E81" i="2"/>
  <c r="G552" i="1"/>
  <c r="G408" i="1"/>
  <c r="H645" i="1" s="1"/>
  <c r="J645" i="1" s="1"/>
  <c r="C15" i="10"/>
  <c r="C18" i="10"/>
  <c r="C122" i="2"/>
  <c r="E16" i="13"/>
  <c r="C16" i="13" s="1"/>
  <c r="C17" i="10"/>
  <c r="C91" i="2"/>
  <c r="C70" i="2"/>
  <c r="F112" i="1"/>
  <c r="G617" i="1"/>
  <c r="G164" i="2"/>
  <c r="G157" i="2"/>
  <c r="G156" i="2"/>
  <c r="K598" i="1"/>
  <c r="G647" i="1" s="1"/>
  <c r="L427" i="1"/>
  <c r="L434" i="1" s="1"/>
  <c r="G638" i="1" s="1"/>
  <c r="J638" i="1" s="1"/>
  <c r="L401" i="1"/>
  <c r="C139" i="2" s="1"/>
  <c r="F461" i="1"/>
  <c r="H639" i="1" s="1"/>
  <c r="J639" i="1" s="1"/>
  <c r="J476" i="1"/>
  <c r="H626" i="1" s="1"/>
  <c r="D127" i="2"/>
  <c r="D128" i="2" s="1"/>
  <c r="D145" i="2" s="1"/>
  <c r="D91" i="2"/>
  <c r="D81" i="2"/>
  <c r="E112" i="2"/>
  <c r="C19" i="10"/>
  <c r="L290" i="1"/>
  <c r="C16" i="10"/>
  <c r="F338" i="1"/>
  <c r="F352" i="1" s="1"/>
  <c r="E109" i="2"/>
  <c r="C25" i="10"/>
  <c r="L270" i="1"/>
  <c r="C11" i="10"/>
  <c r="L247" i="1"/>
  <c r="C10" i="10"/>
  <c r="G649" i="1"/>
  <c r="J649" i="1" s="1"/>
  <c r="D15" i="13"/>
  <c r="C15" i="13" s="1"/>
  <c r="H647" i="1"/>
  <c r="F662" i="1"/>
  <c r="C21" i="10"/>
  <c r="C20" i="10"/>
  <c r="K257" i="1"/>
  <c r="K271" i="1" s="1"/>
  <c r="D6" i="13"/>
  <c r="C6" i="13" s="1"/>
  <c r="A40" i="12"/>
  <c r="C109" i="2"/>
  <c r="H257" i="1"/>
  <c r="H271" i="1" s="1"/>
  <c r="G257" i="1"/>
  <c r="G271" i="1" s="1"/>
  <c r="A13" i="12"/>
  <c r="D5" i="13"/>
  <c r="C5" i="13" s="1"/>
  <c r="F257" i="1"/>
  <c r="F271" i="1" s="1"/>
  <c r="F192" i="1"/>
  <c r="C78" i="2"/>
  <c r="C35" i="10"/>
  <c r="C62" i="2"/>
  <c r="C63" i="2" s="1"/>
  <c r="G625" i="1"/>
  <c r="F18" i="2"/>
  <c r="D18" i="2"/>
  <c r="C18" i="2"/>
  <c r="E62" i="2"/>
  <c r="E63" i="2" s="1"/>
  <c r="L544" i="1"/>
  <c r="H661" i="1"/>
  <c r="C12" i="10"/>
  <c r="H112" i="1"/>
  <c r="H193" i="1" s="1"/>
  <c r="D29" i="13"/>
  <c r="C29" i="13" s="1"/>
  <c r="L309" i="1"/>
  <c r="J257" i="1"/>
  <c r="J271" i="1" s="1"/>
  <c r="D12" i="13"/>
  <c r="C12" i="13" s="1"/>
  <c r="K550" i="1"/>
  <c r="L534" i="1"/>
  <c r="I460" i="1"/>
  <c r="I446" i="1"/>
  <c r="G642" i="1" s="1"/>
  <c r="C123" i="2"/>
  <c r="C114" i="2"/>
  <c r="C110" i="2"/>
  <c r="L211" i="1"/>
  <c r="L362" i="1"/>
  <c r="C13" i="10"/>
  <c r="H25" i="13"/>
  <c r="K500" i="1"/>
  <c r="I452" i="1"/>
  <c r="C121" i="2"/>
  <c r="C112" i="2"/>
  <c r="G661" i="1"/>
  <c r="E124" i="2"/>
  <c r="D56" i="2"/>
  <c r="D63" i="2" s="1"/>
  <c r="C32" i="10"/>
  <c r="G112" i="1"/>
  <c r="E8" i="13"/>
  <c r="C8" i="13" s="1"/>
  <c r="C26" i="10"/>
  <c r="K338" i="1"/>
  <c r="K352" i="1" s="1"/>
  <c r="C120" i="2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J618" i="1"/>
  <c r="G42" i="2"/>
  <c r="G50" i="2" s="1"/>
  <c r="J51" i="1"/>
  <c r="G16" i="2"/>
  <c r="G18" i="2" s="1"/>
  <c r="J19" i="1"/>
  <c r="G621" i="1" s="1"/>
  <c r="F545" i="1"/>
  <c r="H434" i="1"/>
  <c r="J620" i="1"/>
  <c r="D103" i="2"/>
  <c r="I140" i="1"/>
  <c r="A22" i="12"/>
  <c r="J652" i="1"/>
  <c r="G571" i="1"/>
  <c r="I434" i="1"/>
  <c r="G434" i="1"/>
  <c r="I663" i="1"/>
  <c r="L545" i="1" l="1"/>
  <c r="C27" i="10"/>
  <c r="C28" i="10" s="1"/>
  <c r="D12" i="10" s="1"/>
  <c r="G472" i="1"/>
  <c r="K552" i="1"/>
  <c r="G636" i="1"/>
  <c r="I472" i="1"/>
  <c r="G629" i="1"/>
  <c r="H468" i="1"/>
  <c r="F104" i="2"/>
  <c r="H660" i="1"/>
  <c r="H664" i="1" s="1"/>
  <c r="G660" i="1"/>
  <c r="G664" i="1" s="1"/>
  <c r="I662" i="1"/>
  <c r="I661" i="1"/>
  <c r="C81" i="2"/>
  <c r="C104" i="2" s="1"/>
  <c r="E128" i="2"/>
  <c r="L408" i="1"/>
  <c r="F51" i="2"/>
  <c r="L338" i="1"/>
  <c r="L352" i="1" s="1"/>
  <c r="J647" i="1"/>
  <c r="E115" i="2"/>
  <c r="F193" i="1"/>
  <c r="G627" i="1" s="1"/>
  <c r="J627" i="1" s="1"/>
  <c r="F51" i="1"/>
  <c r="C49" i="2"/>
  <c r="C50" i="2" s="1"/>
  <c r="C51" i="2" s="1"/>
  <c r="G104" i="2"/>
  <c r="G51" i="2"/>
  <c r="F660" i="1"/>
  <c r="E104" i="2"/>
  <c r="H648" i="1"/>
  <c r="J648" i="1" s="1"/>
  <c r="C115" i="2"/>
  <c r="C25" i="13"/>
  <c r="H33" i="13"/>
  <c r="D31" i="13"/>
  <c r="C31" i="13" s="1"/>
  <c r="C128" i="2"/>
  <c r="L257" i="1"/>
  <c r="L271" i="1" s="1"/>
  <c r="I193" i="1"/>
  <c r="C36" i="10"/>
  <c r="D104" i="2"/>
  <c r="G635" i="1"/>
  <c r="E33" i="13"/>
  <c r="D35" i="13" s="1"/>
  <c r="I461" i="1"/>
  <c r="H642" i="1" s="1"/>
  <c r="J642" i="1" s="1"/>
  <c r="G631" i="1"/>
  <c r="J631" i="1" s="1"/>
  <c r="G193" i="1"/>
  <c r="G626" i="1"/>
  <c r="J626" i="1" s="1"/>
  <c r="J52" i="1"/>
  <c r="H621" i="1" s="1"/>
  <c r="J621" i="1" s="1"/>
  <c r="C38" i="10"/>
  <c r="H470" i="1" l="1"/>
  <c r="H629" i="1"/>
  <c r="G628" i="1"/>
  <c r="G468" i="1"/>
  <c r="J629" i="1"/>
  <c r="G474" i="1"/>
  <c r="H635" i="1"/>
  <c r="J635" i="1" s="1"/>
  <c r="H636" i="1"/>
  <c r="J636" i="1" s="1"/>
  <c r="I474" i="1"/>
  <c r="G632" i="1"/>
  <c r="F472" i="1"/>
  <c r="G630" i="1"/>
  <c r="I468" i="1"/>
  <c r="E145" i="2"/>
  <c r="I660" i="1"/>
  <c r="I664" i="1" s="1"/>
  <c r="I672" i="1" s="1"/>
  <c r="C7" i="10" s="1"/>
  <c r="G633" i="1"/>
  <c r="H472" i="1"/>
  <c r="G637" i="1"/>
  <c r="J637" i="1" s="1"/>
  <c r="H646" i="1"/>
  <c r="J646" i="1" s="1"/>
  <c r="G622" i="1"/>
  <c r="F52" i="1"/>
  <c r="H617" i="1" s="1"/>
  <c r="J617" i="1" s="1"/>
  <c r="F664" i="1"/>
  <c r="F667" i="1" s="1"/>
  <c r="D33" i="13"/>
  <c r="D36" i="13" s="1"/>
  <c r="C145" i="2"/>
  <c r="D16" i="10"/>
  <c r="D11" i="10"/>
  <c r="D17" i="10"/>
  <c r="D19" i="10"/>
  <c r="D22" i="10"/>
  <c r="D27" i="10"/>
  <c r="D26" i="10"/>
  <c r="D24" i="10"/>
  <c r="D15" i="10"/>
  <c r="C30" i="10"/>
  <c r="D20" i="10"/>
  <c r="D25" i="10"/>
  <c r="D10" i="10"/>
  <c r="D23" i="10"/>
  <c r="D13" i="10"/>
  <c r="D21" i="10"/>
  <c r="D18" i="10"/>
  <c r="G672" i="1"/>
  <c r="C5" i="10" s="1"/>
  <c r="G667" i="1"/>
  <c r="H667" i="1"/>
  <c r="H672" i="1"/>
  <c r="C6" i="10" s="1"/>
  <c r="C41" i="10"/>
  <c r="D38" i="10" s="1"/>
  <c r="J628" i="1" l="1"/>
  <c r="H628" i="1"/>
  <c r="G470" i="1"/>
  <c r="G476" i="1" s="1"/>
  <c r="H623" i="1" s="1"/>
  <c r="J623" i="1" s="1"/>
  <c r="H632" i="1"/>
  <c r="J632" i="1" s="1"/>
  <c r="F474" i="1"/>
  <c r="F476" i="1" s="1"/>
  <c r="H622" i="1" s="1"/>
  <c r="J622" i="1" s="1"/>
  <c r="H630" i="1"/>
  <c r="J630" i="1" s="1"/>
  <c r="I470" i="1"/>
  <c r="I476" i="1" s="1"/>
  <c r="H625" i="1" s="1"/>
  <c r="J625" i="1" s="1"/>
  <c r="H633" i="1"/>
  <c r="J633" i="1" s="1"/>
  <c r="H474" i="1"/>
  <c r="H476" i="1" s="1"/>
  <c r="H624" i="1" s="1"/>
  <c r="J624" i="1" s="1"/>
  <c r="I667" i="1"/>
  <c r="F672" i="1"/>
  <c r="C4" i="10" s="1"/>
  <c r="D28" i="10"/>
  <c r="D37" i="10"/>
  <c r="D36" i="10"/>
  <c r="D35" i="10"/>
  <c r="D40" i="10"/>
  <c r="D39" i="10"/>
  <c r="D41" i="10" l="1"/>
  <c r="E30" i="2" l="1"/>
  <c r="E31" i="2" s="1"/>
  <c r="E51" i="2" s="1"/>
  <c r="H32" i="1"/>
  <c r="H52" i="1" s="1"/>
  <c r="H619" i="1" s="1"/>
  <c r="H656" i="1" l="1"/>
  <c r="J619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<sst xmlns="http://schemas.openxmlformats.org/spreadsheetml/2006/main" count="3958" uniqueCount="916">
  <si>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</si>
  <si>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</si>
  <si>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</si>
  <si>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</si>
  <si>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</si>
  <si>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</si>
  <si>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</si>
  <si>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</si>
  <si>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</si>
  <si>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</si>
  <si>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</si>
  <si>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</si>
  <si>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</si>
  <si>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</si>
  <si>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</si>
  <si>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</si>
  <si>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</si>
  <si>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</si>
  <si>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</si>
  <si>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</si>
  <si>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</si>
  <si>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</si>
  <si>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</si>
  <si>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</si>
  <si>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</si>
  <si>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</si>
  <si>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</si>
  <si>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</si>
  <si>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</si>
  <si>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</si>
  <si>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</si>
  <si>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</si>
  <si>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</si>
  <si>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</si>
  <si>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</si>
  <si>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</si>
  <si>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</si>
  <si>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</si>
  <si>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</si>
  <si>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</si>
  <si>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</si>
  <si>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</si>
  <si>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</si>
  <si>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</si>
  <si>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</si>
  <si>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</si>
  <si>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</si>
  <si>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</si>
  <si>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</si>
  <si>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</si>
  <si>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</si>
  <si>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</si>
  <si>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</si>
  <si>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</si>
  <si>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</si>
  <si>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</si>
  <si>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</si>
  <si>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</si>
  <si>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</si>
  <si>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</si>
  <si>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</si>
  <si>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</si>
  <si>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</si>
  <si>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</si>
  <si>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</si>
  <si>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</si>
  <si>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</si>
  <si>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</si>
  <si>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</si>
  <si>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</si>
  <si>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</si>
  <si>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</si>
  <si>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</si>
  <si>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</si>
  <si>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</si>
  <si>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</si>
  <si>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</si>
  <si>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</si>
  <si>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</si>
  <si>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</si>
  <si>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</si>
  <si>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</si>
  <si>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</si>
  <si>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</si>
  <si>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</si>
  <si>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</si>
  <si>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</si>
  <si>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</si>
  <si>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</si>
  <si>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</si>
  <si>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</si>
  <si>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</si>
  <si>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</si>
  <si>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</si>
  <si>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</si>
  <si>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</si>
  <si>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</si>
  <si>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</si>
  <si>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</si>
  <si>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</si>
  <si>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</si>
  <si>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</si>
  <si>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</si>
  <si>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</si>
  <si>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</si>
  <si>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</si>
  <si>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</si>
  <si>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</si>
  <si>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</si>
  <si>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</si>
  <si>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</si>
  <si>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</si>
  <si>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</si>
  <si>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</si>
  <si>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</si>
  <si>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</si>
  <si>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</si>
  <si>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</si>
  <si>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</si>
  <si>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</si>
  <si>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</si>
  <si>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</si>
  <si>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</si>
  <si>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</si>
  <si>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</si>
  <si>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</si>
  <si>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</si>
  <si>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</si>
  <si>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</si>
  <si>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</si>
  <si>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</si>
  <si>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</si>
  <si>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</si>
  <si>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</si>
  <si>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</si>
  <si>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</si>
  <si>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</si>
  <si>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</si>
  <si>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</si>
  <si>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</si>
  <si>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</si>
  <si>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</si>
  <si>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</si>
  <si>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</si>
  <si>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</si>
  <si>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</si>
  <si>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</si>
  <si>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</si>
  <si>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</si>
  <si>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</si>
  <si>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</si>
  <si>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</si>
  <si>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</si>
  <si>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</si>
  <si>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</si>
  <si>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</si>
  <si>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</si>
  <si>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</si>
  <si>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</si>
  <si>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</si>
  <si>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</si>
  <si>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</si>
  <si>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</si>
  <si>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</si>
  <si>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</si>
  <si>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</si>
  <si>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</si>
  <si>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</si>
  <si>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</si>
  <si>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</si>
  <si>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</si>
  <si>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</si>
  <si>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</si>
  <si>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</si>
  <si>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</si>
  <si>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</si>
  <si>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</si>
  <si>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</si>
  <si>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</si>
  <si>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</si>
  <si>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</si>
  <si>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</si>
  <si>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</si>
  <si>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</si>
  <si>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</si>
  <si>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</si>
  <si>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</si>
  <si>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</si>
  <si>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</si>
  <si>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</si>
  <si>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</si>
  <si>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</si>
  <si>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</si>
  <si>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</si>
  <si>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</si>
  <si>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</si>
  <si>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</si>
  <si>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</si>
  <si>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</si>
  <si>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</si>
  <si>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</si>
  <si>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</si>
  <si>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</si>
  <si>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</si>
  <si>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</si>
  <si>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</si>
  <si>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</si>
  <si>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</si>
  <si>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</si>
  <si>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</si>
  <si>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</si>
  <si>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</si>
  <si>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</si>
  <si>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</si>
  <si>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</si>
  <si>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</si>
  <si>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</si>
  <si>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</si>
  <si>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</si>
  <si>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</si>
  <si>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</si>
  <si>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</si>
  <si>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</si>
  <si>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</si>
  <si>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</si>
  <si>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</si>
  <si>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</si>
  <si>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</si>
  <si>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</si>
  <si>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</si>
  <si>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</si>
  <si>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</si>
  <si>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</si>
  <si>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</si>
  <si>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</si>
  <si>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</si>
  <si>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</si>
  <si>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</si>
  <si>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</si>
  <si>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</si>
  <si>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</si>
  <si>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</si>
  <si>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</si>
  <si>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</si>
  <si>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</si>
  <si>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</si>
  <si>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</si>
  <si>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</si>
  <si>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</si>
  <si>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</si>
  <si>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</si>
  <si>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</si>
  <si>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</si>
  <si>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</si>
  <si>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</si>
  <si>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</si>
  <si>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</si>
  <si>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</si>
  <si>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</si>
  <si>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</si>
  <si>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</si>
  <si>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</si>
  <si>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</si>
  <si>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</si>
  <si>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</si>
  <si>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</si>
  <si>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</si>
  <si>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</si>
  <si>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</si>
  <si>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</si>
  <si>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</si>
  <si>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</si>
  <si>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</si>
  <si>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</si>
  <si>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</si>
  <si>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</si>
  <si>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</si>
  <si>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</si>
  <si>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</si>
  <si>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</si>
  <si>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</si>
  <si>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</si>
  <si>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</si>
  <si>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</si>
  <si>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</si>
  <si>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</si>
  <si>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</si>
  <si>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</si>
  <si>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</si>
  <si>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</si>
  <si>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</si>
  <si>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</si>
  <si>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</si>
  <si>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</si>
  <si>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</si>
  <si>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</si>
  <si>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</si>
  <si>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</si>
  <si>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</si>
  <si>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</si>
  <si>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</si>
  <si>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</si>
  <si>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</si>
  <si>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</si>
  <si>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</si>
  <si>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</si>
  <si>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</si>
  <si>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</si>
  <si>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</si>
  <si>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</si>
  <si>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</si>
  <si>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</si>
  <si>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</si>
  <si>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</si>
  <si>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</si>
  <si>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</si>
  <si>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</si>
  <si>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</si>
  <si>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</si>
  <si>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</si>
  <si>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</si>
  <si>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</si>
  <si>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</si>
  <si>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</si>
  <si>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</si>
  <si>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</si>
  <si>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</si>
  <si>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</si>
  <si>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</si>
  <si>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</si>
  <si>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</si>
  <si>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</si>
  <si>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</si>
  <si>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</si>
  <si>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</si>
  <si>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</si>
  <si>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</si>
  <si>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</si>
  <si>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</si>
  <si>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</si>
  <si>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</si>
  <si>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</si>
  <si>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</si>
  <si>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</si>
  <si>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</si>
  <si>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</si>
  <si>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</si>
  <si>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</si>
  <si>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</si>
  <si>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</si>
  <si>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</si>
  <si>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</si>
  <si>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</si>
  <si>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</si>
  <si>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</si>
  <si>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</si>
  <si>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</si>
  <si>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</si>
  <si>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</si>
  <si>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</si>
  <si>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</si>
  <si>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</si>
  <si>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</si>
  <si>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</si>
  <si>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</si>
  <si>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</si>
  <si>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</si>
  <si>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</si>
  <si>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</si>
  <si>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</si>
  <si>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</si>
  <si>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</si>
  <si>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</si>
  <si>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</si>
  <si>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</si>
  <si>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</si>
  <si>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</si>
  <si>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</si>
  <si>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</si>
  <si>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</si>
  <si>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</si>
  <si>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</si>
  <si>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</si>
  <si>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</si>
  <si>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</si>
  <si>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</si>
  <si>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</si>
  <si>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</si>
  <si>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</si>
  <si>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</si>
  <si>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</si>
  <si>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</si>
  <si>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</si>
  <si>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</si>
  <si>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</si>
  <si>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</si>
  <si>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</si>
  <si>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</si>
  <si>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</si>
  <si>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</si>
  <si>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</si>
  <si>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</si>
  <si>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</si>
  <si>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</si>
  <si>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</si>
  <si>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</si>
  <si>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</si>
  <si>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</si>
  <si>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</si>
  <si>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</si>
  <si>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</si>
  <si>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</si>
  <si>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</si>
  <si>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</si>
  <si>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</si>
  <si>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</si>
  <si>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</si>
  <si>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</si>
  <si>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</si>
  <si>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</si>
  <si>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</si>
  <si>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</si>
  <si>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</si>
  <si>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</si>
  <si>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</si>
  <si>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</si>
  <si>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</si>
  <si>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</si>
  <si>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</si>
  <si>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</si>
  <si>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</si>
  <si>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</si>
  <si>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</si>
  <si>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</si>
  <si>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</si>
  <si>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</si>
  <si>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</si>
  <si>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</si>
  <si>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</si>
  <si>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</si>
  <si>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</si>
  <si>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</si>
  <si>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</si>
  <si>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</si>
  <si>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</si>
  <si>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</si>
  <si>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</si>
  <si>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</si>
  <si>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</si>
  <si>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</si>
  <si>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</si>
  <si>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</si>
  <si>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</si>
  <si>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</si>
  <si>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</si>
  <si>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</si>
  <si>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</si>
  <si>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</si>
  <si>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</si>
  <si>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</si>
  <si>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</si>
  <si>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</si>
  <si>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</si>
  <si>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</si>
  <si>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</si>
  <si>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</si>
  <si>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</si>
  <si>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</si>
  <si>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</si>
  <si>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</si>
  <si>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</si>
  <si>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</si>
  <si>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</si>
  <si>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</si>
  <si>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</si>
  <si>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</si>
  <si>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</si>
  <si>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</si>
  <si>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</si>
  <si>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</si>
  <si>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</si>
  <si>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</si>
  <si>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</si>
  <si>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</si>
  <si>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</si>
  <si>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</si>
  <si>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</si>
  <si>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</si>
  <si>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</si>
  <si>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</si>
  <si>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</si>
  <si>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</si>
  <si>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</si>
  <si>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</si>
  <si>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</si>
  <si>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</si>
  <si>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</si>
  <si>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</si>
  <si>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</si>
  <si>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</si>
  <si>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</si>
  <si>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</si>
  <si>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</si>
  <si>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</si>
  <si>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</si>
  <si>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</si>
  <si>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</si>
  <si>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</si>
  <si>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</si>
  <si>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</si>
  <si>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</si>
  <si>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</si>
  <si>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</si>
  <si>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</si>
  <si>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</si>
  <si>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</si>
  <si>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</si>
  <si>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</si>
  <si>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</si>
  <si>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</si>
  <si>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</si>
  <si>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</si>
  <si>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</si>
  <si>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</si>
  <si>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</si>
  <si>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</si>
  <si>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</si>
  <si>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</si>
  <si>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</si>
  <si>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</si>
  <si>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</si>
  <si>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</si>
  <si>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</si>
  <si>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</si>
  <si>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</si>
  <si>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</si>
  <si>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</si>
  <si>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</si>
  <si>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</si>
  <si>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</si>
  <si>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</si>
  <si>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</si>
  <si>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</si>
  <si>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</si>
  <si>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</si>
  <si>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</si>
  <si>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</si>
  <si>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</si>
  <si>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</si>
  <si>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</si>
  <si>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</si>
  <si>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</si>
  <si>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</si>
  <si>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</si>
  <si>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</si>
  <si>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</si>
  <si>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</si>
  <si>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</si>
  <si>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</si>
  <si>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</si>
  <si>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</si>
  <si>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</si>
  <si>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</si>
  <si>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</si>
  <si>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</si>
  <si>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</si>
  <si>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</si>
  <si>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</si>
  <si>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</si>
  <si>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</si>
  <si>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</si>
  <si>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</si>
  <si>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</si>
  <si>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</si>
  <si>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</si>
  <si>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</si>
  <si>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</si>
  <si>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</si>
  <si>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</si>
  <si>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</si>
  <si>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</si>
  <si>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</si>
  <si>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</si>
  <si>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</si>
  <si>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</si>
  <si>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</si>
  <si>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</si>
  <si>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</si>
  <si>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</si>
  <si>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</si>
  <si>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</si>
  <si>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</si>
  <si>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</si>
  <si>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</si>
  <si>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</si>
  <si>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</si>
  <si>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</si>
  <si>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</si>
  <si>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</si>
  <si>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</si>
  <si>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</si>
  <si>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</si>
  <si>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</si>
  <si>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</si>
  <si>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</si>
  <si>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</si>
  <si>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</si>
  <si>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</si>
  <si>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</si>
  <si>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</si>
  <si>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</si>
  <si>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</si>
  <si>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</si>
  <si>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</si>
  <si>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</si>
  <si>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</si>
  <si>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</si>
  <si>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</si>
  <si>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</si>
  <si>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</si>
  <si>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</si>
  <si>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</si>
  <si>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</si>
  <si>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</si>
  <si>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</si>
  <si>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</si>
  <si>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</si>
  <si>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</si>
  <si>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</si>
  <si>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</si>
  <si>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</si>
  <si>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</si>
  <si>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</si>
  <si>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</si>
  <si>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</si>
  <si>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</si>
  <si>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</si>
  <si>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</si>
  <si>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</si>
  <si>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</si>
  <si>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</si>
  <si>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</si>
  <si>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</si>
  <si>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</si>
  <si>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</si>
  <si>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</si>
  <si>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</si>
  <si>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</si>
  <si>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</si>
  <si>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</si>
  <si>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</si>
  <si>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</si>
  <si>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</si>
  <si>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</si>
  <si>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</si>
  <si>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</si>
  <si>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</si>
  <si>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</si>
  <si>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</si>
  <si>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</si>
  <si>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</si>
  <si>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</si>
  <si>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</si>
  <si>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</si>
  <si>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</si>
  <si>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</si>
  <si>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</si>
  <si>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</si>
  <si>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</si>
  <si>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</si>
  <si>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</si>
  <si>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</si>
  <si>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</si>
  <si>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</si>
  <si>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</si>
  <si>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</si>
  <si>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</si>
  <si>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</si>
  <si>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</si>
  <si>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</si>
  <si>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</si>
  <si>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</si>
  <si>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</si>
  <si>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</si>
  <si>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</si>
  <si>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</si>
  <si>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</si>
  <si>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</si>
  <si>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</si>
  <si>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</si>
  <si>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</si>
  <si>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</si>
  <si>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</si>
  <si>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</si>
  <si>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</si>
  <si>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</si>
  <si>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</si>
  <si>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</si>
  <si>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</si>
  <si>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</si>
  <si>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</si>
  <si>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</si>
  <si>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</si>
  <si>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</si>
  <si>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</si>
  <si>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</si>
  <si>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</si>
  <si>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</si>
  <si>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</si>
  <si>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</si>
  <si>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</si>
  <si>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</si>
  <si>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</si>
  <si>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</si>
  <si>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</si>
  <si>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</si>
  <si>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</si>
  <si>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</si>
  <si>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</si>
  <si>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</si>
  <si>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</si>
  <si>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</si>
  <si>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</si>
  <si>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</si>
  <si>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</si>
  <si>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</si>
  <si>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</si>
  <si>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</si>
  <si>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</si>
  <si>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</si>
  <si>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</si>
  <si>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</si>
  <si>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</si>
  <si>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</si>
  <si>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</si>
  <si>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</si>
  <si>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</si>
  <si>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</si>
  <si>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</si>
  <si>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</si>
  <si>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</si>
  <si>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</si>
  <si>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</si>
  <si>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</si>
  <si>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</si>
  <si>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</si>
  <si>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</si>
  <si>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</si>
  <si>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</si>
  <si>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</si>
  <si>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</si>
  <si>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</si>
  <si>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</si>
  <si>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</si>
  <si>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</si>
  <si>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</si>
  <si>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</si>
  <si>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</si>
  <si>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</si>
  <si>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</si>
  <si>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</si>
  <si>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</si>
  <si>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</si>
  <si>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</si>
  <si>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</si>
  <si>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</si>
  <si>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</si>
  <si>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</si>
  <si>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</si>
  <si>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</si>
  <si>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</si>
  <si>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</si>
  <si>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</si>
  <si>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</si>
  <si>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</si>
  <si>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</si>
  <si>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</si>
  <si>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</si>
  <si>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</si>
  <si>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</si>
  <si>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</si>
  <si>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</si>
  <si>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</si>
  <si>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</si>
  <si>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</si>
  <si>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</si>
  <si>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</si>
  <si>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</si>
  <si>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</si>
  <si>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</si>
  <si>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</si>
  <si>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</si>
  <si>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</si>
  <si>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</si>
  <si>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</si>
  <si>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</si>
  <si>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</si>
  <si>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</si>
  <si>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</si>
  <si>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</si>
  <si>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</si>
  <si>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</si>
  <si>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</si>
  <si>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</si>
  <si>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</si>
  <si>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</si>
  <si>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</si>
  <si>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</si>
  <si>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</si>
  <si>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</si>
  <si>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</si>
  <si>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</si>
  <si>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</si>
  <si>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</si>
  <si>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</si>
  <si>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</si>
  <si>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</si>
  <si>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</si>
  <si>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</si>
  <si>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</si>
  <si>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</si>
  <si>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</si>
  <si>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</si>
  <si>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</si>
  <si>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</si>
  <si>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</si>
  <si>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</si>
  <si>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</si>
  <si>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</si>
  <si>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</si>
  <si>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</si>
  <si>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</si>
  <si>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</si>
  <si>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</si>
  <si>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</si>
  <si>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</si>
  <si>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</si>
  <si>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</si>
  <si>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</si>
  <si>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</si>
  <si>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</si>
  <si>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</si>
  <si>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</si>
  <si>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</si>
  <si>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</si>
  <si>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</si>
  <si>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</si>
  <si>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</si>
  <si>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</si>
  <si>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</si>
  <si>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</si>
  <si>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</si>
  <si>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</si>
  <si>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</si>
  <si>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</si>
  <si>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</si>
  <si>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</si>
  <si>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</si>
  <si>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</si>
  <si>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</si>
  <si>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</si>
  <si>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</si>
  <si>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</si>
  <si>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</si>
  <si>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</si>
  <si>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</si>
  <si>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</si>
  <si>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</si>
  <si>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</si>
  <si>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</si>
  <si>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</si>
  <si>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</si>
  <si>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</si>
  <si>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</si>
  <si>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</si>
  <si>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</si>
  <si>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</si>
  <si>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</si>
  <si>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</si>
  <si>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</si>
  <si>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</si>
  <si>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</si>
  <si>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</si>
  <si>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</si>
  <si>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</si>
  <si>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</si>
  <si>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</si>
  <si>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</si>
  <si>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</si>
  <si>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</si>
  <si>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</si>
  <si>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</si>
  <si>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</si>
  <si>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</si>
  <si>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</si>
  <si>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</si>
  <si>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</si>
  <si>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</si>
  <si>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</si>
  <si>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</si>
  <si>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</si>
  <si>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</si>
  <si>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</si>
  <si>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</si>
  <si>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</si>
  <si>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</si>
  <si>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</si>
  <si>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</si>
  <si>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</si>
  <si>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</si>
  <si>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</si>
  <si>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Claremont School District</t>
  </si>
  <si>
    <t>08/95</t>
  </si>
  <si>
    <t>08/15</t>
  </si>
  <si>
    <t>08/13</t>
  </si>
  <si>
    <t>08/33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</si>
</sst>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30" zoomScaleNormal="130" workbookViewId="0">
      <pane xSplit="5" ySplit="3" topLeftCell="F32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101</v>
      </c>
      <c r="C2" s="21">
        <v>101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362831.21+200+3000+5000+138120.49+1002152.99+316.59</f>
        <v>1511621.28</v>
      </c>
      <c r="G9" s="18"/>
      <c r="H9" s="18"/>
      <c r="I9" s="18">
        <v>597534.02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822791.05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28868.75</v>
      </c>
      <c r="H13" s="18">
        <v>533699.67000000004</v>
      </c>
      <c r="I13" s="18"/>
      <c r="J13" s="67">
        <f>SUM(I442)</f>
        <v>294009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64188.13+1114.51+535.02</f>
        <v>65837.66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17086.509999999998</v>
      </c>
      <c r="G16" s="18">
        <v>11099.3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7903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2425239.5</v>
      </c>
      <c r="G19" s="41">
        <f>SUM(G9:G18)</f>
        <v>39968.050000000003</v>
      </c>
      <c r="H19" s="41">
        <f>SUM(H9:H18)</f>
        <v>533699.67000000004</v>
      </c>
      <c r="I19" s="41">
        <f>SUM(I9:I18)</f>
        <v>597534.02</v>
      </c>
      <c r="J19" s="41">
        <f>SUM(J9:J18)</f>
        <v>294009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27216.98</v>
      </c>
      <c r="H22" s="18">
        <v>198776.61</v>
      </c>
      <c r="I22" s="18">
        <v>596797.46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129083.61</v>
      </c>
      <c r="G24" s="18"/>
      <c r="H24" s="18">
        <v>6680.48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55744.18+325815.9+42800.22+291.99+1337.73+6390.21</f>
        <v>432380.23000000004</v>
      </c>
      <c r="G28" s="18">
        <v>1010.09</v>
      </c>
      <c r="H28" s="18">
        <f>17189.05+3913.13+688.2</f>
        <v>21790.38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0</v>
      </c>
      <c r="H30" s="18">
        <v>18626.8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561463.84000000008</v>
      </c>
      <c r="G32" s="41">
        <f>SUM(G22:G31)</f>
        <v>28227.07</v>
      </c>
      <c r="H32" s="41">
        <f>SUM(H22:H31)</f>
        <v>245874.27</v>
      </c>
      <c r="I32" s="41">
        <f>SUM(I22:I31)</f>
        <v>596797.46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f>F16</f>
        <v>17086.509999999998</v>
      </c>
      <c r="G35" s="18">
        <f>G16</f>
        <v>11099.3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7903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395321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f>1822405.3-388714-1242443.23-11658+107485.9</f>
        <v>287075.97000000009</v>
      </c>
      <c r="G48" s="18">
        <f>39968.05-39326.37</f>
        <v>641.68000000000029</v>
      </c>
      <c r="H48" s="18">
        <v>287825.40000000002</v>
      </c>
      <c r="I48" s="18">
        <f>597534.02-596797.46</f>
        <v>736.56000000005588</v>
      </c>
      <c r="J48" s="13">
        <f>SUM(I459)</f>
        <v>294009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611909.44999999995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939800.73-395321</f>
        <v>544479.73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1863775.6600000001</v>
      </c>
      <c r="G51" s="41">
        <f>SUM(G35:G50)</f>
        <v>11740.98</v>
      </c>
      <c r="H51" s="41">
        <f>SUM(H35:H50)</f>
        <v>287825.40000000002</v>
      </c>
      <c r="I51" s="41">
        <f>SUM(I35:I50)</f>
        <v>736.56000000005588</v>
      </c>
      <c r="J51" s="41">
        <f>SUM(J35:J50)</f>
        <v>294009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2425239.5</v>
      </c>
      <c r="G52" s="41">
        <f>G51+G32</f>
        <v>39968.050000000003</v>
      </c>
      <c r="H52" s="41">
        <f>H51+H32</f>
        <v>533699.67000000004</v>
      </c>
      <c r="I52" s="41">
        <f>I51+I32</f>
        <v>597534.02</v>
      </c>
      <c r="J52" s="41">
        <f>J51+J32</f>
        <v>294009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13976989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13976989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>
        <v>9445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418646.13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167622.32999999999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586268.46</v>
      </c>
      <c r="G79" s="45" t="s">
        <v>289</v>
      </c>
      <c r="H79" s="41">
        <f>SUM(H63:H78)</f>
        <v>9445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6761.5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6761.5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41691.61</v>
      </c>
      <c r="G96" s="18"/>
      <c r="H96" s="18">
        <v>3542.6</v>
      </c>
      <c r="I96" s="18">
        <v>4036.37</v>
      </c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121047.58+203.19</f>
        <v>121250.77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>
        <v>8571.5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62215</v>
      </c>
      <c r="G102" s="18"/>
      <c r="H102" s="18">
        <v>7910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f>55105.26+166188.31+204929.52</f>
        <v>426223.08999999997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10020.52+63054.61</f>
        <v>73075.13</v>
      </c>
      <c r="G110" s="18"/>
      <c r="H110" s="18">
        <v>133299.57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603604.82999999996</v>
      </c>
      <c r="G111" s="41">
        <f>SUM(G96:G110)</f>
        <v>121250.77</v>
      </c>
      <c r="H111" s="41">
        <f>SUM(H96:H110)</f>
        <v>153323.67000000001</v>
      </c>
      <c r="I111" s="41">
        <f>SUM(I96:I110)</f>
        <v>4036.37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15173623.790000001</v>
      </c>
      <c r="G112" s="41">
        <f>G60+G111</f>
        <v>121250.77</v>
      </c>
      <c r="H112" s="41">
        <f>H60+H79+H94+H111</f>
        <v>162768.67000000001</v>
      </c>
      <c r="I112" s="41">
        <f>I60+I111</f>
        <v>4036.37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12637470.279999999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1835855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14473325.279999999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99000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379770.4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5774.39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5394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955.46</f>
        <v>955.46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489938.79000000004</v>
      </c>
      <c r="G136" s="41">
        <f>SUM(G123:G135)</f>
        <v>955.46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14963264.07</v>
      </c>
      <c r="G140" s="41">
        <f>G121+SUM(G136:G137)</f>
        <v>955.46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72233.58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72233.58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736969.65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313913.15000000002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50651.97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78659.240000000005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9183.33+328676.63+60584.47+10412.83+17990.01+13165.31+5960.93</f>
        <v>445973.51000000007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440647.63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504097.73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504097.73</v>
      </c>
      <c r="G162" s="41">
        <f>SUM(G150:G161)</f>
        <v>445973.51000000007</v>
      </c>
      <c r="H162" s="41">
        <f>SUM(H150:H161)</f>
        <v>1620841.6400000001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576331.30999999994</v>
      </c>
      <c r="G169" s="41">
        <f>G147+G162+SUM(G163:G168)</f>
        <v>445973.51000000007</v>
      </c>
      <c r="H169" s="41">
        <f>H147+H162+SUM(H163:H168)</f>
        <v>1620841.6400000001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1637806.76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1637806.76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19466.36</v>
      </c>
      <c r="H179" s="18">
        <v>52522.37</v>
      </c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19466.36</v>
      </c>
      <c r="H183" s="41">
        <f>SUM(H179:H182)</f>
        <v>52522.37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19466.36</v>
      </c>
      <c r="H192" s="41">
        <f>+H183+SUM(H188:H191)</f>
        <v>52522.37</v>
      </c>
      <c r="I192" s="41">
        <f>I177+I183+SUM(I188:I191)</f>
        <v>1637806.76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30713219.169999998</v>
      </c>
      <c r="G193" s="47">
        <f>G112+G140+G169+G192</f>
        <v>587646.10000000009</v>
      </c>
      <c r="H193" s="47">
        <f>H112+H140+H169+H192</f>
        <v>1836132.6800000002</v>
      </c>
      <c r="I193" s="47">
        <f>I112+I140+I169+I192</f>
        <v>1641843.1300000001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2785720.82</v>
      </c>
      <c r="G197" s="18">
        <v>1685123.88</v>
      </c>
      <c r="H197" s="18">
        <v>87736</v>
      </c>
      <c r="I197" s="18">
        <v>139589.32</v>
      </c>
      <c r="J197" s="18">
        <v>120880.03</v>
      </c>
      <c r="K197" s="18">
        <v>0</v>
      </c>
      <c r="L197" s="19">
        <f>SUM(F197:K197)</f>
        <v>4819050.05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1884257.29</v>
      </c>
      <c r="G198" s="18">
        <v>680410.11</v>
      </c>
      <c r="H198" s="18">
        <f>-16332.86+717878.57</f>
        <v>701545.71</v>
      </c>
      <c r="I198" s="18">
        <v>19879.95</v>
      </c>
      <c r="J198" s="18">
        <v>9806.1</v>
      </c>
      <c r="K198" s="18"/>
      <c r="L198" s="19">
        <f>SUM(F198:K198)</f>
        <v>3295899.16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0</v>
      </c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494219.12</v>
      </c>
      <c r="G202" s="18">
        <v>259062.83</v>
      </c>
      <c r="H202" s="18">
        <v>253.54</v>
      </c>
      <c r="I202" s="18">
        <v>3047.63</v>
      </c>
      <c r="J202" s="18"/>
      <c r="K202" s="18"/>
      <c r="L202" s="19">
        <f t="shared" ref="L202:L208" si="0">SUM(F202:K202)</f>
        <v>756583.12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165647.60999999999</v>
      </c>
      <c r="G203" s="18">
        <v>77257.350000000006</v>
      </c>
      <c r="H203" s="18">
        <v>59602.94</v>
      </c>
      <c r="I203" s="18">
        <v>39224.19</v>
      </c>
      <c r="J203" s="18">
        <v>48867.43</v>
      </c>
      <c r="K203" s="18">
        <v>3189.07</v>
      </c>
      <c r="L203" s="19">
        <f t="shared" si="0"/>
        <v>393788.59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4077.45</v>
      </c>
      <c r="G204" s="18">
        <v>844.68</v>
      </c>
      <c r="H204" s="18">
        <v>696586.04</v>
      </c>
      <c r="I204" s="18">
        <v>2321.6999999999998</v>
      </c>
      <c r="J204" s="18">
        <v>8822.36</v>
      </c>
      <c r="K204" s="18"/>
      <c r="L204" s="19">
        <f t="shared" si="0"/>
        <v>712652.23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656184.31999999995</v>
      </c>
      <c r="G205" s="18">
        <v>367818.48</v>
      </c>
      <c r="H205" s="18">
        <v>9795.51</v>
      </c>
      <c r="I205" s="18">
        <v>4209.0200000000004</v>
      </c>
      <c r="J205" s="18">
        <v>1543.01</v>
      </c>
      <c r="K205" s="18">
        <v>1577.98</v>
      </c>
      <c r="L205" s="19">
        <f t="shared" si="0"/>
        <v>1041128.32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295788.86</v>
      </c>
      <c r="G207" s="18">
        <v>146016.70000000001</v>
      </c>
      <c r="H207" s="18">
        <v>362673.45</v>
      </c>
      <c r="I207" s="18">
        <v>224479.97</v>
      </c>
      <c r="J207" s="18">
        <v>3709.01</v>
      </c>
      <c r="K207" s="18"/>
      <c r="L207" s="19">
        <f t="shared" si="0"/>
        <v>1032667.99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192762.44</v>
      </c>
      <c r="G208" s="18">
        <v>72316.350000000006</v>
      </c>
      <c r="H208" s="18">
        <f>16332.86+81572.66</f>
        <v>97905.52</v>
      </c>
      <c r="I208" s="18">
        <v>14724.2</v>
      </c>
      <c r="J208" s="18">
        <v>18183.59</v>
      </c>
      <c r="K208" s="18">
        <v>563.05999999999995</v>
      </c>
      <c r="L208" s="19">
        <f t="shared" si="0"/>
        <v>396455.16000000009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6478657.9100000011</v>
      </c>
      <c r="G211" s="41">
        <f t="shared" si="1"/>
        <v>3288850.3800000004</v>
      </c>
      <c r="H211" s="41">
        <f t="shared" si="1"/>
        <v>2016098.71</v>
      </c>
      <c r="I211" s="41">
        <f t="shared" si="1"/>
        <v>447475.98000000004</v>
      </c>
      <c r="J211" s="41">
        <f t="shared" si="1"/>
        <v>211811.53</v>
      </c>
      <c r="K211" s="41">
        <f t="shared" si="1"/>
        <v>5330.1100000000006</v>
      </c>
      <c r="L211" s="41">
        <f t="shared" si="1"/>
        <v>12448224.620000001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1246372.52</v>
      </c>
      <c r="G215" s="18">
        <v>728817.86</v>
      </c>
      <c r="H215" s="18">
        <v>43550.34</v>
      </c>
      <c r="I215" s="18">
        <v>105978.57</v>
      </c>
      <c r="J215" s="18">
        <v>47164.91</v>
      </c>
      <c r="K215" s="18">
        <v>1541.2</v>
      </c>
      <c r="L215" s="19">
        <f>SUM(F215:K215)</f>
        <v>2173425.4000000004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684988.46</v>
      </c>
      <c r="G216" s="18">
        <v>297466.39</v>
      </c>
      <c r="H216" s="18">
        <f>-120583.36+727207.73</f>
        <v>606624.37</v>
      </c>
      <c r="I216" s="18">
        <v>11371.9</v>
      </c>
      <c r="J216" s="18">
        <v>4750.1000000000004</v>
      </c>
      <c r="K216" s="18"/>
      <c r="L216" s="19">
        <f>SUM(F216:K216)</f>
        <v>1605201.22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128135</v>
      </c>
      <c r="G217" s="18">
        <v>76344.009999999995</v>
      </c>
      <c r="H217" s="18">
        <v>800</v>
      </c>
      <c r="I217" s="18">
        <v>16425.560000000001</v>
      </c>
      <c r="J217" s="18">
        <v>2183.09</v>
      </c>
      <c r="K217" s="18"/>
      <c r="L217" s="19">
        <f>SUM(F217:K217)</f>
        <v>223887.66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47106.2</v>
      </c>
      <c r="G218" s="18">
        <v>8572.31</v>
      </c>
      <c r="H218" s="18">
        <v>4246.1400000000003</v>
      </c>
      <c r="I218" s="18">
        <v>2913.4</v>
      </c>
      <c r="J218" s="18">
        <v>3168.05</v>
      </c>
      <c r="K218" s="18"/>
      <c r="L218" s="19">
        <f>SUM(F218:K218)</f>
        <v>66006.099999999991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280716.21999999997</v>
      </c>
      <c r="G220" s="18">
        <v>177513.54</v>
      </c>
      <c r="H220" s="18">
        <v>125.38</v>
      </c>
      <c r="I220" s="18">
        <v>3093.02</v>
      </c>
      <c r="J220" s="18">
        <v>465.45</v>
      </c>
      <c r="K220" s="18"/>
      <c r="L220" s="19">
        <f t="shared" ref="L220:L226" si="2">SUM(F220:K220)</f>
        <v>461913.61000000004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91359.05</v>
      </c>
      <c r="G221" s="18">
        <v>51615.75</v>
      </c>
      <c r="H221" s="18">
        <v>29565.599999999999</v>
      </c>
      <c r="I221" s="18">
        <v>18014.86</v>
      </c>
      <c r="J221" s="18">
        <v>22258.240000000002</v>
      </c>
      <c r="K221" s="18">
        <v>1577.02</v>
      </c>
      <c r="L221" s="19">
        <f t="shared" si="2"/>
        <v>214390.52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2016.34</v>
      </c>
      <c r="G222" s="18">
        <v>417.7</v>
      </c>
      <c r="H222" s="18">
        <v>344468.72</v>
      </c>
      <c r="I222" s="18">
        <v>1148.0999999999999</v>
      </c>
      <c r="J222" s="18">
        <v>4362.75</v>
      </c>
      <c r="K222" s="18"/>
      <c r="L222" s="19">
        <f t="shared" si="2"/>
        <v>352413.60999999993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253872</v>
      </c>
      <c r="G223" s="18">
        <v>112984</v>
      </c>
      <c r="H223" s="18">
        <v>6532.73</v>
      </c>
      <c r="I223" s="18">
        <v>2070.06</v>
      </c>
      <c r="J223" s="18">
        <v>0</v>
      </c>
      <c r="K223" s="18">
        <v>848.99</v>
      </c>
      <c r="L223" s="19">
        <f t="shared" si="2"/>
        <v>376307.77999999997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182749.25</v>
      </c>
      <c r="G225" s="18">
        <v>94342.720000000001</v>
      </c>
      <c r="H225" s="18">
        <v>192869.86</v>
      </c>
      <c r="I225" s="18">
        <v>125813.49</v>
      </c>
      <c r="J225" s="18">
        <v>3613.35</v>
      </c>
      <c r="K225" s="18"/>
      <c r="L225" s="19">
        <f t="shared" si="2"/>
        <v>599388.66999999993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100868.1</v>
      </c>
      <c r="G226" s="18">
        <v>36325.61</v>
      </c>
      <c r="H226" s="18">
        <f>120583.36+48565.63</f>
        <v>169148.99</v>
      </c>
      <c r="I226" s="18">
        <v>7281.26</v>
      </c>
      <c r="J226" s="18">
        <v>8991.9599999999991</v>
      </c>
      <c r="K226" s="18">
        <v>278.44</v>
      </c>
      <c r="L226" s="19">
        <f t="shared" si="2"/>
        <v>322894.36000000004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3018183.14</v>
      </c>
      <c r="G229" s="41">
        <f>SUM(G215:G228)</f>
        <v>1584399.8900000001</v>
      </c>
      <c r="H229" s="41">
        <f>SUM(H215:H228)</f>
        <v>1397932.13</v>
      </c>
      <c r="I229" s="41">
        <f>SUM(I215:I228)</f>
        <v>294110.22000000003</v>
      </c>
      <c r="J229" s="41">
        <f>SUM(J215:J228)</f>
        <v>96957.900000000023</v>
      </c>
      <c r="K229" s="41">
        <f t="shared" si="3"/>
        <v>4245.6499999999996</v>
      </c>
      <c r="L229" s="41">
        <f t="shared" si="3"/>
        <v>6395828.9300000006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1830722.22</v>
      </c>
      <c r="G233" s="18">
        <v>1107720.5900000001</v>
      </c>
      <c r="H233" s="18">
        <v>103194.82</v>
      </c>
      <c r="I233" s="18">
        <v>167951.78</v>
      </c>
      <c r="J233" s="18">
        <v>68716.91</v>
      </c>
      <c r="K233" s="18">
        <v>11467.34</v>
      </c>
      <c r="L233" s="19">
        <f>SUM(F233:K233)</f>
        <v>3289773.6599999997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592991.98</v>
      </c>
      <c r="G234" s="18">
        <v>275356.87</v>
      </c>
      <c r="H234" s="18">
        <f>-112619.93+1310096.09</f>
        <v>1197476.1600000001</v>
      </c>
      <c r="I234" s="18">
        <v>12165.46</v>
      </c>
      <c r="J234" s="18">
        <v>10228.69</v>
      </c>
      <c r="K234" s="18"/>
      <c r="L234" s="19">
        <f>SUM(F234:K234)</f>
        <v>2088219.1600000001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590843.32999999996</v>
      </c>
      <c r="G235" s="18">
        <v>293339.5</v>
      </c>
      <c r="H235" s="18">
        <v>23555.81</v>
      </c>
      <c r="I235" s="18">
        <v>45956.639999999999</v>
      </c>
      <c r="J235" s="18">
        <v>1949.11</v>
      </c>
      <c r="K235" s="18"/>
      <c r="L235" s="19">
        <f>SUM(F235:K235)</f>
        <v>955644.39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195703.18</v>
      </c>
      <c r="G236" s="18">
        <v>50551.56</v>
      </c>
      <c r="H236" s="18">
        <v>71179.91</v>
      </c>
      <c r="I236" s="18">
        <v>13437.63</v>
      </c>
      <c r="J236" s="18">
        <v>10354.290000000001</v>
      </c>
      <c r="K236" s="18">
        <v>7455</v>
      </c>
      <c r="L236" s="19">
        <f>SUM(F236:K236)</f>
        <v>348681.57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411204.43</v>
      </c>
      <c r="G238" s="18">
        <v>177096.62</v>
      </c>
      <c r="H238" s="18">
        <v>1611.94</v>
      </c>
      <c r="I238" s="18">
        <v>3380.37</v>
      </c>
      <c r="J238" s="18">
        <v>818.9</v>
      </c>
      <c r="K238" s="18">
        <v>4022</v>
      </c>
      <c r="L238" s="19">
        <f t="shared" ref="L238:L244" si="4">SUM(F238:K238)</f>
        <v>598134.26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94593.32</v>
      </c>
      <c r="G239" s="18">
        <v>35177.64</v>
      </c>
      <c r="H239" s="18">
        <v>42093.34</v>
      </c>
      <c r="I239" s="18">
        <v>26540.39</v>
      </c>
      <c r="J239" s="18">
        <v>33519.1</v>
      </c>
      <c r="K239" s="18">
        <v>2233.92</v>
      </c>
      <c r="L239" s="19">
        <f t="shared" si="4"/>
        <v>234157.71000000002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2856.22</v>
      </c>
      <c r="G240" s="18">
        <v>591.69000000000005</v>
      </c>
      <c r="H240" s="18">
        <v>487952.61</v>
      </c>
      <c r="I240" s="18">
        <v>1626.33</v>
      </c>
      <c r="J240" s="18">
        <v>6179.99</v>
      </c>
      <c r="K240" s="18"/>
      <c r="L240" s="19">
        <f t="shared" si="4"/>
        <v>499206.83999999997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485837.92</v>
      </c>
      <c r="G241" s="18">
        <v>248668.42</v>
      </c>
      <c r="H241" s="18">
        <v>9878.94</v>
      </c>
      <c r="I241" s="18">
        <v>9591.43</v>
      </c>
      <c r="J241" s="18">
        <v>0</v>
      </c>
      <c r="K241" s="18">
        <v>6717.58</v>
      </c>
      <c r="L241" s="19">
        <f t="shared" si="4"/>
        <v>760694.28999999992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330962.19</v>
      </c>
      <c r="G243" s="18">
        <v>130631.89</v>
      </c>
      <c r="H243" s="18">
        <v>305358.95</v>
      </c>
      <c r="I243" s="18">
        <v>280116.92</v>
      </c>
      <c r="J243" s="18">
        <v>2397.84</v>
      </c>
      <c r="K243" s="18"/>
      <c r="L243" s="19">
        <f t="shared" si="4"/>
        <v>1049467.79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157983.03</v>
      </c>
      <c r="G244" s="18">
        <v>53514.68</v>
      </c>
      <c r="H244" s="18">
        <f>112619.93+101781.73</f>
        <v>214401.65999999997</v>
      </c>
      <c r="I244" s="18">
        <v>10314.17</v>
      </c>
      <c r="J244" s="18">
        <v>12737.45</v>
      </c>
      <c r="K244" s="18">
        <v>394.42</v>
      </c>
      <c r="L244" s="19">
        <f t="shared" si="4"/>
        <v>449345.41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4693697.8200000012</v>
      </c>
      <c r="G247" s="41">
        <f t="shared" si="5"/>
        <v>2372649.4600000004</v>
      </c>
      <c r="H247" s="41">
        <f t="shared" si="5"/>
        <v>2456704.1400000006</v>
      </c>
      <c r="I247" s="41">
        <f t="shared" si="5"/>
        <v>571081.12</v>
      </c>
      <c r="J247" s="41">
        <f t="shared" si="5"/>
        <v>146902.28</v>
      </c>
      <c r="K247" s="41">
        <f t="shared" si="5"/>
        <v>32290.260000000002</v>
      </c>
      <c r="L247" s="41">
        <f t="shared" si="5"/>
        <v>10273325.079999998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14190538.870000001</v>
      </c>
      <c r="G257" s="41">
        <f t="shared" si="8"/>
        <v>7245899.7300000004</v>
      </c>
      <c r="H257" s="41">
        <f t="shared" si="8"/>
        <v>5870734.9800000004</v>
      </c>
      <c r="I257" s="41">
        <f t="shared" si="8"/>
        <v>1312667.32</v>
      </c>
      <c r="J257" s="41">
        <f t="shared" si="8"/>
        <v>455671.71000000008</v>
      </c>
      <c r="K257" s="41">
        <f t="shared" si="8"/>
        <v>41866.020000000004</v>
      </c>
      <c r="L257" s="41">
        <f t="shared" si="8"/>
        <v>29117378.629999999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895000</v>
      </c>
      <c r="L260" s="19">
        <f>SUM(F260:K260)</f>
        <v>895000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587181.25</v>
      </c>
      <c r="L261" s="19">
        <f>SUM(F261:K261)</f>
        <v>587181.25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19466.36</v>
      </c>
      <c r="L263" s="19">
        <f>SUM(F263:K263)</f>
        <v>19466.36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52522.37</v>
      </c>
      <c r="L264" s="19">
        <f t="shared" ref="L264:L270" si="9">SUM(F264:K264)</f>
        <v>52522.37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1554169.9800000002</v>
      </c>
      <c r="L270" s="41">
        <f t="shared" si="9"/>
        <v>1554169.9800000002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14190538.870000001</v>
      </c>
      <c r="G271" s="42">
        <f t="shared" si="11"/>
        <v>7245899.7300000004</v>
      </c>
      <c r="H271" s="42">
        <f t="shared" si="11"/>
        <v>5870734.9800000004</v>
      </c>
      <c r="I271" s="42">
        <f t="shared" si="11"/>
        <v>1312667.32</v>
      </c>
      <c r="J271" s="42">
        <f t="shared" si="11"/>
        <v>455671.71000000008</v>
      </c>
      <c r="K271" s="42">
        <f t="shared" si="11"/>
        <v>1596036.0000000002</v>
      </c>
      <c r="L271" s="42">
        <f t="shared" si="11"/>
        <v>30671548.609999999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283806.57</v>
      </c>
      <c r="G276" s="18">
        <v>134271.57999999999</v>
      </c>
      <c r="H276" s="18">
        <v>19849.3</v>
      </c>
      <c r="I276" s="18">
        <v>15071.03</v>
      </c>
      <c r="J276" s="18">
        <v>30821.13</v>
      </c>
      <c r="K276" s="18"/>
      <c r="L276" s="19">
        <f>SUM(F276:K276)</f>
        <v>483819.61000000004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120180.62</v>
      </c>
      <c r="G277" s="18">
        <v>49919.3</v>
      </c>
      <c r="H277" s="18">
        <v>20775.48</v>
      </c>
      <c r="I277" s="18">
        <v>7359.87</v>
      </c>
      <c r="J277" s="18">
        <v>2283.09</v>
      </c>
      <c r="K277" s="18"/>
      <c r="L277" s="19">
        <f>SUM(F277:K277)</f>
        <v>200518.36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>
        <v>6691.85</v>
      </c>
      <c r="J279" s="18"/>
      <c r="K279" s="18"/>
      <c r="L279" s="19">
        <f>SUM(F279:K279)</f>
        <v>6691.85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92128.82</v>
      </c>
      <c r="G281" s="18">
        <v>19326.82</v>
      </c>
      <c r="H281" s="18">
        <v>58089.37</v>
      </c>
      <c r="I281" s="18">
        <v>13373.24</v>
      </c>
      <c r="J281" s="18">
        <v>479.54</v>
      </c>
      <c r="K281" s="18">
        <v>219.65</v>
      </c>
      <c r="L281" s="19">
        <f t="shared" ref="L281:L287" si="12">SUM(F281:K281)</f>
        <v>183617.44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477.93</v>
      </c>
      <c r="G282" s="18">
        <v>36.56</v>
      </c>
      <c r="H282" s="18">
        <v>7546.18</v>
      </c>
      <c r="I282" s="18"/>
      <c r="J282" s="18"/>
      <c r="K282" s="18"/>
      <c r="L282" s="19">
        <f t="shared" si="12"/>
        <v>8060.67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5505.53</v>
      </c>
      <c r="L283" s="19">
        <f t="shared" si="12"/>
        <v>5505.53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18769.919999999998</v>
      </c>
      <c r="G284" s="18">
        <v>7119.19</v>
      </c>
      <c r="H284" s="18">
        <v>1592.52</v>
      </c>
      <c r="I284" s="18">
        <v>273.76</v>
      </c>
      <c r="J284" s="18"/>
      <c r="K284" s="18"/>
      <c r="L284" s="19">
        <f t="shared" si="12"/>
        <v>27755.389999999996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19398.95</v>
      </c>
      <c r="L285" s="19">
        <f t="shared" si="12"/>
        <v>19398.95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820.05</v>
      </c>
      <c r="I286" s="18"/>
      <c r="J286" s="18"/>
      <c r="K286" s="18"/>
      <c r="L286" s="19">
        <f t="shared" si="12"/>
        <v>820.05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2005.7</v>
      </c>
      <c r="I287" s="18"/>
      <c r="J287" s="18"/>
      <c r="K287" s="18"/>
      <c r="L287" s="19">
        <f t="shared" si="12"/>
        <v>2005.7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>
        <v>582.84</v>
      </c>
      <c r="J288" s="18"/>
      <c r="K288" s="18"/>
      <c r="L288" s="19">
        <f>SUM(F288:K288)</f>
        <v>582.84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515363.86</v>
      </c>
      <c r="G290" s="42">
        <f t="shared" si="13"/>
        <v>210673.45</v>
      </c>
      <c r="H290" s="42">
        <f t="shared" si="13"/>
        <v>110678.59999999999</v>
      </c>
      <c r="I290" s="42">
        <f t="shared" si="13"/>
        <v>43352.59</v>
      </c>
      <c r="J290" s="42">
        <f t="shared" si="13"/>
        <v>33583.760000000002</v>
      </c>
      <c r="K290" s="42">
        <f t="shared" si="13"/>
        <v>25124.13</v>
      </c>
      <c r="L290" s="41">
        <f t="shared" si="13"/>
        <v>938776.39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52907.6</v>
      </c>
      <c r="G295" s="18">
        <v>25398.99</v>
      </c>
      <c r="H295" s="18">
        <v>9815.68</v>
      </c>
      <c r="I295" s="18">
        <v>3981.68</v>
      </c>
      <c r="J295" s="18">
        <v>15241.37</v>
      </c>
      <c r="K295" s="18"/>
      <c r="L295" s="19">
        <f>SUM(F295:K295)</f>
        <v>107345.31999999998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59430.51</v>
      </c>
      <c r="G296" s="18">
        <v>24685.59</v>
      </c>
      <c r="H296" s="18">
        <v>10273.68</v>
      </c>
      <c r="I296" s="18">
        <v>3639.53</v>
      </c>
      <c r="J296" s="18">
        <v>1129.01</v>
      </c>
      <c r="K296" s="18"/>
      <c r="L296" s="19">
        <f>SUM(F296:K296)</f>
        <v>99158.319999999992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>
        <v>4038.18</v>
      </c>
      <c r="J298" s="18">
        <v>4291.2</v>
      </c>
      <c r="K298" s="18"/>
      <c r="L298" s="19">
        <f>SUM(F298:K298)</f>
        <v>8329.3799999999992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35961.339999999997</v>
      </c>
      <c r="G300" s="18">
        <v>7701.25</v>
      </c>
      <c r="H300" s="18">
        <v>22368.959999999999</v>
      </c>
      <c r="I300" s="18">
        <v>5814.46</v>
      </c>
      <c r="J300" s="18">
        <v>153.83000000000001</v>
      </c>
      <c r="K300" s="18"/>
      <c r="L300" s="19">
        <f t="shared" ref="L300:L306" si="14">SUM(F300:K300)</f>
        <v>71999.839999999997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236.34</v>
      </c>
      <c r="G301" s="18">
        <v>18.079999999999998</v>
      </c>
      <c r="H301" s="18">
        <v>4022.65</v>
      </c>
      <c r="I301" s="18"/>
      <c r="J301" s="18"/>
      <c r="K301" s="18"/>
      <c r="L301" s="19">
        <f t="shared" si="14"/>
        <v>4277.07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>
        <v>2827.52</v>
      </c>
      <c r="L302" s="19">
        <f t="shared" si="14"/>
        <v>2827.52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9281.91</v>
      </c>
      <c r="G303" s="18">
        <v>3520.51</v>
      </c>
      <c r="H303" s="18">
        <v>787.52</v>
      </c>
      <c r="I303" s="18">
        <v>135.38</v>
      </c>
      <c r="J303" s="18"/>
      <c r="K303" s="18"/>
      <c r="L303" s="19">
        <f t="shared" si="14"/>
        <v>13725.32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>
        <v>9310.7199999999993</v>
      </c>
      <c r="L304" s="19">
        <f t="shared" si="14"/>
        <v>9310.7199999999993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>
        <v>405.52</v>
      </c>
      <c r="I305" s="18"/>
      <c r="J305" s="18"/>
      <c r="K305" s="18"/>
      <c r="L305" s="19">
        <f t="shared" si="14"/>
        <v>405.52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991.84</v>
      </c>
      <c r="I306" s="18"/>
      <c r="J306" s="18"/>
      <c r="K306" s="18"/>
      <c r="L306" s="19">
        <f t="shared" si="14"/>
        <v>991.84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>
        <v>288.22000000000003</v>
      </c>
      <c r="J307" s="18"/>
      <c r="K307" s="18"/>
      <c r="L307" s="19">
        <f>SUM(F307:K307)</f>
        <v>288.22000000000003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157817.70000000001</v>
      </c>
      <c r="G309" s="42">
        <f t="shared" si="15"/>
        <v>61324.420000000006</v>
      </c>
      <c r="H309" s="42">
        <f t="shared" si="15"/>
        <v>48665.849999999991</v>
      </c>
      <c r="I309" s="42">
        <f t="shared" si="15"/>
        <v>17897.45</v>
      </c>
      <c r="J309" s="42">
        <f t="shared" si="15"/>
        <v>20815.410000000003</v>
      </c>
      <c r="K309" s="42">
        <f t="shared" si="15"/>
        <v>12138.24</v>
      </c>
      <c r="L309" s="41">
        <f t="shared" si="15"/>
        <v>318659.07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0</v>
      </c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84185.51</v>
      </c>
      <c r="G315" s="18">
        <v>34968.050000000003</v>
      </c>
      <c r="H315" s="18">
        <v>14553.04</v>
      </c>
      <c r="I315" s="18">
        <v>5155.5200000000004</v>
      </c>
      <c r="J315" s="18">
        <v>1599.29</v>
      </c>
      <c r="K315" s="18"/>
      <c r="L315" s="19">
        <f>SUM(F315:K315)</f>
        <v>140461.41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>
        <v>5876.97</v>
      </c>
      <c r="I316" s="18">
        <v>9542.82</v>
      </c>
      <c r="J316" s="18">
        <v>28646.04</v>
      </c>
      <c r="K316" s="18"/>
      <c r="L316" s="19">
        <f>SUM(F316:K316)</f>
        <v>44065.83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34367.32</v>
      </c>
      <c r="G319" s="18">
        <v>9391.24</v>
      </c>
      <c r="H319" s="18">
        <v>130098.42</v>
      </c>
      <c r="I319" s="18">
        <v>7317.48</v>
      </c>
      <c r="J319" s="18">
        <v>217.9</v>
      </c>
      <c r="K319" s="18">
        <v>292.94</v>
      </c>
      <c r="L319" s="19">
        <f t="shared" ref="L319:L325" si="16">SUM(F319:K319)</f>
        <v>181685.3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734.78</v>
      </c>
      <c r="G320" s="18">
        <f>83.19-18.08-36.56</f>
        <v>28.549999999999997</v>
      </c>
      <c r="H320" s="18">
        <v>6844.02</v>
      </c>
      <c r="I320" s="18">
        <v>3542.6</v>
      </c>
      <c r="J320" s="18"/>
      <c r="K320" s="18"/>
      <c r="L320" s="19">
        <f t="shared" si="16"/>
        <v>11149.95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>
        <v>2047.33</v>
      </c>
      <c r="I321" s="18"/>
      <c r="J321" s="18"/>
      <c r="K321" s="18">
        <v>4005.28</v>
      </c>
      <c r="L321" s="19">
        <f t="shared" si="16"/>
        <v>6052.6100000000006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13148.17</v>
      </c>
      <c r="G322" s="18">
        <v>4986.93</v>
      </c>
      <c r="H322" s="18">
        <v>1115.55</v>
      </c>
      <c r="I322" s="18">
        <v>191.77</v>
      </c>
      <c r="J322" s="18"/>
      <c r="K322" s="18"/>
      <c r="L322" s="19">
        <f t="shared" si="16"/>
        <v>19442.419999999998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3778.69</v>
      </c>
      <c r="L323" s="19">
        <f t="shared" si="16"/>
        <v>3778.69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574.42999999999995</v>
      </c>
      <c r="I324" s="18"/>
      <c r="J324" s="18"/>
      <c r="K324" s="18"/>
      <c r="L324" s="19">
        <f t="shared" si="16"/>
        <v>574.42999999999995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1404.98</v>
      </c>
      <c r="I325" s="18"/>
      <c r="J325" s="18"/>
      <c r="K325" s="18"/>
      <c r="L325" s="19">
        <f t="shared" si="16"/>
        <v>1404.98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24631.62</v>
      </c>
      <c r="G326" s="18">
        <v>8713.74</v>
      </c>
      <c r="H326" s="18">
        <v>4228.93</v>
      </c>
      <c r="I326" s="18">
        <v>8767.73</v>
      </c>
      <c r="J326" s="18"/>
      <c r="K326" s="18"/>
      <c r="L326" s="19">
        <f>SUM(F326:K326)</f>
        <v>46342.020000000004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157067.4</v>
      </c>
      <c r="G328" s="42">
        <f t="shared" si="17"/>
        <v>58088.51</v>
      </c>
      <c r="H328" s="42">
        <f t="shared" si="17"/>
        <v>166743.66999999995</v>
      </c>
      <c r="I328" s="42">
        <f t="shared" si="17"/>
        <v>34517.919999999998</v>
      </c>
      <c r="J328" s="42">
        <f t="shared" si="17"/>
        <v>30463.230000000003</v>
      </c>
      <c r="K328" s="42">
        <f t="shared" si="17"/>
        <v>8076.91</v>
      </c>
      <c r="L328" s="41">
        <f t="shared" si="17"/>
        <v>454957.63999999996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100345.78</v>
      </c>
      <c r="G333" s="18">
        <v>31012.080000000002</v>
      </c>
      <c r="H333" s="18">
        <v>3212.79</v>
      </c>
      <c r="I333" s="18">
        <v>4364.1099999999997</v>
      </c>
      <c r="J333" s="18">
        <v>1691.85</v>
      </c>
      <c r="K333" s="18"/>
      <c r="L333" s="19">
        <f t="shared" si="18"/>
        <v>140626.60999999999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100345.78</v>
      </c>
      <c r="G337" s="41">
        <f t="shared" si="19"/>
        <v>31012.080000000002</v>
      </c>
      <c r="H337" s="41">
        <f t="shared" si="19"/>
        <v>3212.79</v>
      </c>
      <c r="I337" s="41">
        <f t="shared" si="19"/>
        <v>4364.1099999999997</v>
      </c>
      <c r="J337" s="41">
        <f t="shared" si="19"/>
        <v>1691.85</v>
      </c>
      <c r="K337" s="41">
        <f t="shared" si="19"/>
        <v>0</v>
      </c>
      <c r="L337" s="41">
        <f t="shared" si="18"/>
        <v>140626.60999999999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930594.74000000011</v>
      </c>
      <c r="G338" s="41">
        <f t="shared" si="20"/>
        <v>361098.46</v>
      </c>
      <c r="H338" s="41">
        <f t="shared" si="20"/>
        <v>329300.90999999992</v>
      </c>
      <c r="I338" s="41">
        <f t="shared" si="20"/>
        <v>100132.06999999999</v>
      </c>
      <c r="J338" s="41">
        <f t="shared" si="20"/>
        <v>86554.250000000015</v>
      </c>
      <c r="K338" s="41">
        <f t="shared" si="20"/>
        <v>45339.28</v>
      </c>
      <c r="L338" s="41">
        <f t="shared" si="20"/>
        <v>1853019.71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930594.74000000011</v>
      </c>
      <c r="G352" s="41">
        <f>G338</f>
        <v>361098.46</v>
      </c>
      <c r="H352" s="41">
        <f>H338</f>
        <v>329300.90999999992</v>
      </c>
      <c r="I352" s="41">
        <f>I338</f>
        <v>100132.06999999999</v>
      </c>
      <c r="J352" s="41">
        <f>J338</f>
        <v>86554.250000000015</v>
      </c>
      <c r="K352" s="47">
        <f>K338+K351</f>
        <v>45339.28</v>
      </c>
      <c r="L352" s="41">
        <f>L338+L351</f>
        <v>1853019.71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88296.74</v>
      </c>
      <c r="G358" s="18">
        <v>13690.25</v>
      </c>
      <c r="H358" s="18">
        <v>1121.3499999999999</v>
      </c>
      <c r="I358" s="18">
        <v>177050.19</v>
      </c>
      <c r="J358" s="18">
        <v>6507.55</v>
      </c>
      <c r="K358" s="18">
        <v>62.64</v>
      </c>
      <c r="L358" s="13">
        <f>SUM(F358:K358)</f>
        <v>286728.72000000003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41740.71</v>
      </c>
      <c r="G359" s="18">
        <v>6728.05</v>
      </c>
      <c r="H359" s="18">
        <v>554.52</v>
      </c>
      <c r="I359" s="18">
        <v>69673.48</v>
      </c>
      <c r="J359" s="18">
        <v>3218.05</v>
      </c>
      <c r="K359" s="18">
        <v>30.98</v>
      </c>
      <c r="L359" s="19">
        <f>SUM(F359:K359)</f>
        <v>121945.79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59127.25</v>
      </c>
      <c r="G360" s="18">
        <v>9530.5300000000007</v>
      </c>
      <c r="H360" s="18">
        <v>785.49</v>
      </c>
      <c r="I360" s="18">
        <v>98695.039999999994</v>
      </c>
      <c r="J360" s="18">
        <v>4558.49</v>
      </c>
      <c r="K360" s="18">
        <v>43.88</v>
      </c>
      <c r="L360" s="19">
        <f>SUM(F360:K360)</f>
        <v>172740.68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189164.7</v>
      </c>
      <c r="G362" s="47">
        <f t="shared" si="22"/>
        <v>29948.83</v>
      </c>
      <c r="H362" s="47">
        <f t="shared" si="22"/>
        <v>2461.3599999999997</v>
      </c>
      <c r="I362" s="47">
        <f t="shared" si="22"/>
        <v>345418.70999999996</v>
      </c>
      <c r="J362" s="47">
        <f t="shared" si="22"/>
        <v>14284.09</v>
      </c>
      <c r="K362" s="47">
        <f t="shared" si="22"/>
        <v>137.5</v>
      </c>
      <c r="L362" s="47">
        <f t="shared" si="22"/>
        <v>581415.18999999994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177050.19-6212.98</f>
        <v>170837.21</v>
      </c>
      <c r="G367" s="18">
        <f>69673.48-2444.44</f>
        <v>67229.039999999994</v>
      </c>
      <c r="H367" s="18">
        <f>98695.04-3462.63</f>
        <v>95232.409999999989</v>
      </c>
      <c r="I367" s="56">
        <f>SUM(F367:H367)</f>
        <v>333298.65999999997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6212.98</v>
      </c>
      <c r="G368" s="63">
        <f>2444.44</f>
        <v>2444.44</v>
      </c>
      <c r="H368" s="63">
        <v>3462.63</v>
      </c>
      <c r="I368" s="56">
        <f>SUM(F368:H368)</f>
        <v>12120.05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177050.19</v>
      </c>
      <c r="G369" s="47">
        <f>SUM(G367:G368)</f>
        <v>69673.48</v>
      </c>
      <c r="H369" s="47">
        <f>SUM(H367:H368)</f>
        <v>98695.039999999994</v>
      </c>
      <c r="I369" s="47">
        <f>SUM(I367:I368)</f>
        <v>345418.70999999996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4181</v>
      </c>
      <c r="G379" s="18">
        <v>319.85000000000002</v>
      </c>
      <c r="H379" s="18">
        <v>7082695.7199999997</v>
      </c>
      <c r="I379" s="18"/>
      <c r="J379" s="18"/>
      <c r="K379" s="18"/>
      <c r="L379" s="13">
        <f t="shared" si="23"/>
        <v>7087196.5699999994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4181</v>
      </c>
      <c r="G382" s="139">
        <f t="shared" ref="G382:L382" si="24">SUM(G374:G381)</f>
        <v>319.85000000000002</v>
      </c>
      <c r="H382" s="139">
        <f t="shared" si="24"/>
        <v>7082695.7199999997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7087196.5699999994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294009</v>
      </c>
      <c r="H442" s="18"/>
      <c r="I442" s="56">
        <f t="shared" si="33"/>
        <v>294009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294009</v>
      </c>
      <c r="H446" s="13">
        <f>SUM(H439:H445)</f>
        <v>0</v>
      </c>
      <c r="I446" s="13">
        <f>SUM(I439:I445)</f>
        <v>294009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294009</v>
      </c>
      <c r="H459" s="18"/>
      <c r="I459" s="56">
        <f t="shared" si="34"/>
        <v>294009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294009</v>
      </c>
      <c r="H460" s="83">
        <f>SUM(H454:H459)</f>
        <v>0</v>
      </c>
      <c r="I460" s="83">
        <f>SUM(I454:I459)</f>
        <v>294009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294009</v>
      </c>
      <c r="H461" s="42">
        <f>H452+H460</f>
        <v>0</v>
      </c>
      <c r="I461" s="42">
        <f>I452+I460</f>
        <v>294009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f>-300.2+1822405.3</f>
        <v>1822105.1</v>
      </c>
      <c r="G465" s="18">
        <f>-269.98+5780.05</f>
        <v>5510.07</v>
      </c>
      <c r="H465" s="18">
        <f>10702.7+294009.73</f>
        <v>304712.43</v>
      </c>
      <c r="I465" s="18">
        <v>5446090</v>
      </c>
      <c r="J465" s="18">
        <v>294009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30713219.170000002</v>
      </c>
      <c r="G468" s="18">
        <f>G193</f>
        <v>587646.10000000009</v>
      </c>
      <c r="H468" s="18">
        <f>H193</f>
        <v>1836132.6800000002</v>
      </c>
      <c r="I468" s="18">
        <f>I193</f>
        <v>1641843.1300000001</v>
      </c>
      <c r="J468" s="18">
        <v>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30713219.170000002</v>
      </c>
      <c r="G470" s="53">
        <f>SUM(G468:G469)</f>
        <v>587646.10000000009</v>
      </c>
      <c r="H470" s="53">
        <f>SUM(H468:H469)</f>
        <v>1836132.6800000002</v>
      </c>
      <c r="I470" s="53">
        <f>SUM(I468:I469)</f>
        <v>1641843.1300000001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30671548.609999999</v>
      </c>
      <c r="G472" s="18">
        <f>L362</f>
        <v>581415.18999999994</v>
      </c>
      <c r="H472" s="18">
        <f>L352</f>
        <v>1853019.71</v>
      </c>
      <c r="I472" s="18">
        <f>L382</f>
        <v>7087196.5699999994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30671548.609999999</v>
      </c>
      <c r="G474" s="53">
        <f>SUM(G472:G473)</f>
        <v>581415.18999999994</v>
      </c>
      <c r="H474" s="53">
        <f>SUM(H472:H473)</f>
        <v>1853019.71</v>
      </c>
      <c r="I474" s="53">
        <f>SUM(I472:I473)</f>
        <v>7087196.5699999994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1863775.6600000039</v>
      </c>
      <c r="G476" s="53">
        <f>(G465+G470)- G474</f>
        <v>11740.980000000098</v>
      </c>
      <c r="H476" s="53">
        <f>(H465+H470)- H474</f>
        <v>287825.40000000037</v>
      </c>
      <c r="I476" s="53">
        <f>(I465+I470)- I474</f>
        <v>736.56000000052154</v>
      </c>
      <c r="J476" s="53">
        <f>(J465+J470)- J474</f>
        <v>294009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>
        <v>10</v>
      </c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4">
        <f>12/13</f>
        <v>0.92307692307692313</v>
      </c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6600000</v>
      </c>
      <c r="G493" s="18">
        <v>11195000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5.43</v>
      </c>
      <c r="G494" s="18">
        <v>3.58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660000</v>
      </c>
      <c r="G495" s="18">
        <v>11195000</v>
      </c>
      <c r="H495" s="18"/>
      <c r="I495" s="18"/>
      <c r="J495" s="18"/>
      <c r="K495" s="53">
        <f>SUM(F495:J495)</f>
        <v>11855000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330000</v>
      </c>
      <c r="G497" s="18">
        <v>565000</v>
      </c>
      <c r="H497" s="18"/>
      <c r="I497" s="18"/>
      <c r="J497" s="18"/>
      <c r="K497" s="53">
        <f t="shared" si="35"/>
        <v>895000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330000</v>
      </c>
      <c r="G498" s="204">
        <f>G495-G497</f>
        <v>10630000</v>
      </c>
      <c r="H498" s="204"/>
      <c r="I498" s="204"/>
      <c r="J498" s="204"/>
      <c r="K498" s="205">
        <f t="shared" si="35"/>
        <v>10960000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37125-27843.75</f>
        <v>9281.25</v>
      </c>
      <c r="G499" s="18">
        <f>5653437.5-559337.5</f>
        <v>5094100</v>
      </c>
      <c r="H499" s="18"/>
      <c r="I499" s="18"/>
      <c r="J499" s="18"/>
      <c r="K499" s="53">
        <f t="shared" si="35"/>
        <v>5103381.25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339281.25</v>
      </c>
      <c r="G500" s="42">
        <f>SUM(G498:G499)</f>
        <v>15724100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16063381.25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330000</v>
      </c>
      <c r="G501" s="204">
        <v>565000</v>
      </c>
      <c r="H501" s="204"/>
      <c r="I501" s="204"/>
      <c r="J501" s="204"/>
      <c r="K501" s="205">
        <f t="shared" si="35"/>
        <v>895000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9281.25</v>
      </c>
      <c r="G502" s="18">
        <f>G495*0.0358</f>
        <v>400781</v>
      </c>
      <c r="H502" s="18"/>
      <c r="I502" s="18"/>
      <c r="J502" s="18"/>
      <c r="K502" s="53">
        <f t="shared" si="35"/>
        <v>410062.25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339281.25</v>
      </c>
      <c r="G503" s="42">
        <f>SUM(G501:G502)</f>
        <v>965781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1305062.25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2004437.91</v>
      </c>
      <c r="G521" s="18">
        <v>730329.41</v>
      </c>
      <c r="H521" s="18">
        <v>379421.9</v>
      </c>
      <c r="I521" s="18">
        <v>27239.82</v>
      </c>
      <c r="J521" s="18">
        <v>12089.18</v>
      </c>
      <c r="K521" s="18"/>
      <c r="L521" s="88">
        <f>SUM(F521:K521)</f>
        <v>3153518.2199999997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744418.98</v>
      </c>
      <c r="G522" s="18">
        <v>322151.98</v>
      </c>
      <c r="H522" s="18">
        <v>449998.97</v>
      </c>
      <c r="I522" s="18">
        <v>15011.43</v>
      </c>
      <c r="J522" s="18">
        <v>5879.11</v>
      </c>
      <c r="K522" s="18"/>
      <c r="L522" s="88">
        <f>SUM(F522:K522)</f>
        <v>1537460.47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677177.49</v>
      </c>
      <c r="G523" s="18">
        <v>310324.90999999997</v>
      </c>
      <c r="H523" s="18">
        <v>877671.76</v>
      </c>
      <c r="I523" s="18">
        <v>17320.990000000002</v>
      </c>
      <c r="J523" s="18">
        <v>11827.98</v>
      </c>
      <c r="K523" s="18"/>
      <c r="L523" s="88">
        <f>SUM(F523:K523)</f>
        <v>1894323.13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3426034.38</v>
      </c>
      <c r="G524" s="108">
        <f t="shared" ref="G524:L524" si="36">SUM(G521:G523)</f>
        <v>1362806.3</v>
      </c>
      <c r="H524" s="108">
        <f t="shared" si="36"/>
        <v>1707092.63</v>
      </c>
      <c r="I524" s="108">
        <f t="shared" si="36"/>
        <v>59572.240000000005</v>
      </c>
      <c r="J524" s="108">
        <f t="shared" si="36"/>
        <v>29796.27</v>
      </c>
      <c r="K524" s="108">
        <f t="shared" si="36"/>
        <v>0</v>
      </c>
      <c r="L524" s="89">
        <f t="shared" si="36"/>
        <v>6585301.8199999994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155840.6</v>
      </c>
      <c r="G526" s="18">
        <v>95285.38</v>
      </c>
      <c r="H526" s="18">
        <v>1032667.99</v>
      </c>
      <c r="I526" s="18"/>
      <c r="J526" s="18"/>
      <c r="K526" s="18"/>
      <c r="L526" s="88">
        <f>SUM(F526:K526)</f>
        <v>1283793.97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114064.72</v>
      </c>
      <c r="G527" s="18">
        <v>73845.320000000007</v>
      </c>
      <c r="H527" s="18">
        <v>599388.67000000004</v>
      </c>
      <c r="I527" s="18"/>
      <c r="J527" s="18"/>
      <c r="K527" s="18"/>
      <c r="L527" s="88">
        <f>SUM(F527:K527)</f>
        <v>787298.71000000008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109165.02</v>
      </c>
      <c r="G528" s="18">
        <v>66746.600000000006</v>
      </c>
      <c r="H528" s="18">
        <v>1049467.79</v>
      </c>
      <c r="I528" s="18"/>
      <c r="J528" s="18"/>
      <c r="K528" s="18"/>
      <c r="L528" s="88">
        <f>SUM(F528:K528)</f>
        <v>1225379.4100000001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379070.34</v>
      </c>
      <c r="G529" s="89">
        <f t="shared" ref="G529:L529" si="37">SUM(G526:G528)</f>
        <v>235877.30000000002</v>
      </c>
      <c r="H529" s="89">
        <f t="shared" si="37"/>
        <v>2681524.4500000002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3296472.0900000003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49433.34</v>
      </c>
      <c r="G531" s="18">
        <v>23020.06</v>
      </c>
      <c r="H531" s="18">
        <v>1785.32</v>
      </c>
      <c r="I531" s="18">
        <v>431.31</v>
      </c>
      <c r="J531" s="18">
        <v>1340.94</v>
      </c>
      <c r="K531" s="18"/>
      <c r="L531" s="88">
        <f>SUM(F531:K531)</f>
        <v>76010.97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24445.279999999999</v>
      </c>
      <c r="G532" s="18">
        <v>11383.65</v>
      </c>
      <c r="H532" s="18">
        <v>882.86</v>
      </c>
      <c r="I532" s="18">
        <v>213.29</v>
      </c>
      <c r="J532" s="18">
        <v>663.11</v>
      </c>
      <c r="K532" s="18"/>
      <c r="L532" s="88">
        <f>SUM(F532:K532)</f>
        <v>37588.19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34627.629999999997</v>
      </c>
      <c r="G533" s="18">
        <v>16125.36</v>
      </c>
      <c r="H533" s="18">
        <v>1250.5999999999999</v>
      </c>
      <c r="I533" s="18">
        <v>302.13</v>
      </c>
      <c r="J533" s="18">
        <v>939.32</v>
      </c>
      <c r="K533" s="18"/>
      <c r="L533" s="88">
        <f>SUM(F533:K533)</f>
        <v>53245.039999999994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108506.25</v>
      </c>
      <c r="G534" s="89">
        <f t="shared" ref="G534:L534" si="38">SUM(G531:G533)</f>
        <v>50529.07</v>
      </c>
      <c r="H534" s="89">
        <f t="shared" si="38"/>
        <v>3918.7799999999997</v>
      </c>
      <c r="I534" s="89">
        <f t="shared" si="38"/>
        <v>946.73</v>
      </c>
      <c r="J534" s="89">
        <f t="shared" si="38"/>
        <v>2943.3700000000003</v>
      </c>
      <c r="K534" s="89">
        <f t="shared" si="38"/>
        <v>0</v>
      </c>
      <c r="L534" s="89">
        <f t="shared" si="38"/>
        <v>166844.20000000001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4251.66</v>
      </c>
      <c r="I536" s="18"/>
      <c r="J536" s="18"/>
      <c r="K536" s="18"/>
      <c r="L536" s="88">
        <f>SUM(F536:K536)</f>
        <v>4251.66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2102.4899999999998</v>
      </c>
      <c r="I537" s="18"/>
      <c r="J537" s="18"/>
      <c r="K537" s="18"/>
      <c r="L537" s="88">
        <f>SUM(F537:K537)</f>
        <v>2102.4899999999998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2978.25</v>
      </c>
      <c r="I538" s="18"/>
      <c r="J538" s="18"/>
      <c r="K538" s="18"/>
      <c r="L538" s="88">
        <f>SUM(F538:K538)</f>
        <v>2978.25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9332.4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9332.4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16332.86</v>
      </c>
      <c r="I541" s="18"/>
      <c r="J541" s="18"/>
      <c r="K541" s="18"/>
      <c r="L541" s="88">
        <f>SUM(F541:K541)</f>
        <v>16332.86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120583.36</v>
      </c>
      <c r="I542" s="18"/>
      <c r="J542" s="18"/>
      <c r="K542" s="18"/>
      <c r="L542" s="88">
        <f>SUM(F542:K542)</f>
        <v>120583.36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112619.93</v>
      </c>
      <c r="I543" s="18"/>
      <c r="J543" s="18"/>
      <c r="K543" s="18"/>
      <c r="L543" s="88">
        <f>SUM(F543:K543)</f>
        <v>112619.93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249536.15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249536.15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3913610.9699999997</v>
      </c>
      <c r="G545" s="89">
        <f t="shared" ref="G545:L545" si="41">G524+G529+G534+G539+G544</f>
        <v>1649212.6700000002</v>
      </c>
      <c r="H545" s="89">
        <f t="shared" si="41"/>
        <v>4651404.4100000011</v>
      </c>
      <c r="I545" s="89">
        <f t="shared" si="41"/>
        <v>60518.970000000008</v>
      </c>
      <c r="J545" s="89">
        <f t="shared" si="41"/>
        <v>32739.64</v>
      </c>
      <c r="K545" s="89">
        <f t="shared" si="41"/>
        <v>0</v>
      </c>
      <c r="L545" s="89">
        <f t="shared" si="41"/>
        <v>10307486.66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3153518.2199999997</v>
      </c>
      <c r="G549" s="87">
        <f>L526</f>
        <v>1283793.97</v>
      </c>
      <c r="H549" s="87">
        <f>L531</f>
        <v>76010.97</v>
      </c>
      <c r="I549" s="87">
        <f>L536</f>
        <v>4251.66</v>
      </c>
      <c r="J549" s="87">
        <f>L541</f>
        <v>16332.86</v>
      </c>
      <c r="K549" s="87">
        <f>SUM(F549:J549)</f>
        <v>4533907.68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1537460.47</v>
      </c>
      <c r="G550" s="87">
        <f>L527</f>
        <v>787298.71000000008</v>
      </c>
      <c r="H550" s="87">
        <f>L532</f>
        <v>37588.19</v>
      </c>
      <c r="I550" s="87">
        <f>L537</f>
        <v>2102.4899999999998</v>
      </c>
      <c r="J550" s="87">
        <f>L542</f>
        <v>120583.36</v>
      </c>
      <c r="K550" s="87">
        <f>SUM(F550:J550)</f>
        <v>2485033.2200000002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1894323.13</v>
      </c>
      <c r="G551" s="87">
        <f>L528</f>
        <v>1225379.4100000001</v>
      </c>
      <c r="H551" s="87">
        <f>L533</f>
        <v>53245.039999999994</v>
      </c>
      <c r="I551" s="87">
        <f>L538</f>
        <v>2978.25</v>
      </c>
      <c r="J551" s="87">
        <f>L543</f>
        <v>112619.93</v>
      </c>
      <c r="K551" s="87">
        <f>SUM(F551:J551)</f>
        <v>3288545.7600000002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6585301.8199999994</v>
      </c>
      <c r="G552" s="89">
        <f t="shared" si="42"/>
        <v>3296472.0900000003</v>
      </c>
      <c r="H552" s="89">
        <f t="shared" si="42"/>
        <v>166844.20000000001</v>
      </c>
      <c r="I552" s="89">
        <f t="shared" si="42"/>
        <v>9332.4</v>
      </c>
      <c r="J552" s="89">
        <f t="shared" si="42"/>
        <v>249536.15</v>
      </c>
      <c r="K552" s="89">
        <f t="shared" si="42"/>
        <v>10307486.66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15199.02</v>
      </c>
      <c r="I581" s="87">
        <f t="shared" si="47"/>
        <v>15199.02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354419.16</f>
        <v>354419.16</v>
      </c>
      <c r="G582" s="18">
        <f>256431.14+81203.73</f>
        <v>337634.87</v>
      </c>
      <c r="H582" s="18">
        <f>791156.03+48648.15</f>
        <v>839804.18</v>
      </c>
      <c r="I582" s="87">
        <f t="shared" si="47"/>
        <v>1531858.21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16628.22</v>
      </c>
      <c r="I584" s="87">
        <f t="shared" si="47"/>
        <v>16628.22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379300.55</v>
      </c>
      <c r="I591" s="18">
        <v>187567.89</v>
      </c>
      <c r="J591" s="18">
        <v>233404.74</v>
      </c>
      <c r="K591" s="104">
        <f t="shared" ref="K591:K597" si="48">SUM(H591:J591)</f>
        <v>800273.17999999993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16332.86</v>
      </c>
      <c r="I592" s="18">
        <v>120583.36</v>
      </c>
      <c r="J592" s="18">
        <v>112619.93</v>
      </c>
      <c r="K592" s="104">
        <f t="shared" si="48"/>
        <v>249536.15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66585</v>
      </c>
      <c r="K593" s="104">
        <f t="shared" si="48"/>
        <v>66585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6109.61</v>
      </c>
      <c r="J594" s="18">
        <v>25812.27</v>
      </c>
      <c r="K594" s="104">
        <f t="shared" si="48"/>
        <v>31921.88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821.75</v>
      </c>
      <c r="I595" s="18">
        <v>8633.5</v>
      </c>
      <c r="J595" s="18">
        <v>10923.47</v>
      </c>
      <c r="K595" s="104">
        <f t="shared" si="48"/>
        <v>20378.72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396455.16</v>
      </c>
      <c r="I598" s="108">
        <f>SUM(I591:I597)</f>
        <v>322894.36</v>
      </c>
      <c r="J598" s="108">
        <f>SUM(J591:J597)</f>
        <v>449345.41</v>
      </c>
      <c r="K598" s="108">
        <f>SUM(K591:K597)</f>
        <v>1168694.9299999997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245395.29</v>
      </c>
      <c r="I604" s="18">
        <v>117773.31</v>
      </c>
      <c r="J604" s="18">
        <v>179057.36</v>
      </c>
      <c r="K604" s="104">
        <f>SUM(H604:J604)</f>
        <v>542225.96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245395.29</v>
      </c>
      <c r="I605" s="108">
        <f>SUM(I602:I604)</f>
        <v>117773.31</v>
      </c>
      <c r="J605" s="108">
        <f>SUM(J602:J604)</f>
        <v>179057.36</v>
      </c>
      <c r="K605" s="108">
        <f>SUM(K602:K604)</f>
        <v>542225.96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>
        <v>6691.85</v>
      </c>
      <c r="J611" s="18"/>
      <c r="K611" s="18">
        <v>0</v>
      </c>
      <c r="L611" s="88">
        <f>SUM(F611:K611)</f>
        <v>6691.85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>
        <v>4038.18</v>
      </c>
      <c r="J612" s="18"/>
      <c r="K612" s="18">
        <v>4291.2</v>
      </c>
      <c r="L612" s="88">
        <f>SUM(F612:K612)</f>
        <v>8329.3799999999992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10730.03</v>
      </c>
      <c r="J614" s="108">
        <f t="shared" si="49"/>
        <v>0</v>
      </c>
      <c r="K614" s="108">
        <f t="shared" si="49"/>
        <v>4291.2</v>
      </c>
      <c r="L614" s="89">
        <f t="shared" si="49"/>
        <v>15021.23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2425239.5</v>
      </c>
      <c r="H617" s="109">
        <f>SUM(F52)</f>
        <v>2425239.5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39968.050000000003</v>
      </c>
      <c r="H618" s="109">
        <f>SUM(G52)</f>
        <v>39968.050000000003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533699.67000000004</v>
      </c>
      <c r="H619" s="109">
        <f>SUM(H52)</f>
        <v>533699.67000000004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597534.02</v>
      </c>
      <c r="H620" s="109">
        <f>SUM(I52)</f>
        <v>597534.02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294009</v>
      </c>
      <c r="H621" s="109">
        <f>SUM(J52)</f>
        <v>294009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1863775.6600000001</v>
      </c>
      <c r="H622" s="109">
        <f>F476</f>
        <v>1863775.6600000039</v>
      </c>
      <c r="I622" s="121" t="s">
        <v>101</v>
      </c>
      <c r="J622" s="109">
        <f t="shared" ref="J622:J655" si="50">G622-H622</f>
        <v>-3.7252902984619141E-9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11740.98</v>
      </c>
      <c r="H623" s="109">
        <f>G476</f>
        <v>11740.980000000098</v>
      </c>
      <c r="I623" s="121" t="s">
        <v>102</v>
      </c>
      <c r="J623" s="109">
        <f t="shared" si="50"/>
        <v>-9.822542779147625E-11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287825.40000000002</v>
      </c>
      <c r="H624" s="109">
        <f>H476</f>
        <v>287825.40000000037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736.56000000005588</v>
      </c>
      <c r="H625" s="109">
        <f>I476</f>
        <v>736.56000000052154</v>
      </c>
      <c r="I625" s="121" t="s">
        <v>104</v>
      </c>
      <c r="J625" s="109">
        <f t="shared" si="50"/>
        <v>-4.6566128730773926E-10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294009</v>
      </c>
      <c r="H626" s="109">
        <f>J476</f>
        <v>294009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30713219.169999998</v>
      </c>
      <c r="H627" s="104">
        <f>SUM(F468)</f>
        <v>30713219.170000002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587646.10000000009</v>
      </c>
      <c r="H628" s="104">
        <f>SUM(G468)</f>
        <v>587646.10000000009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1836132.6800000002</v>
      </c>
      <c r="H629" s="104">
        <f>SUM(H468)</f>
        <v>1836132.6800000002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1641843.1300000001</v>
      </c>
      <c r="H630" s="104">
        <f>SUM(I468)</f>
        <v>1641843.1300000001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30671548.609999999</v>
      </c>
      <c r="H632" s="104">
        <f>SUM(F472)</f>
        <v>30671548.609999999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1853019.71</v>
      </c>
      <c r="H633" s="104">
        <f>SUM(H472)</f>
        <v>1853019.71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345418.70999999996</v>
      </c>
      <c r="H634" s="104">
        <f>I369</f>
        <v>345418.70999999996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581415.18999999994</v>
      </c>
      <c r="H635" s="104">
        <f>SUM(G472)</f>
        <v>581415.18999999994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7087196.5699999994</v>
      </c>
      <c r="H636" s="104">
        <f>SUM(I472)</f>
        <v>7087196.5699999994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294009</v>
      </c>
      <c r="H640" s="104">
        <f>SUM(G461)</f>
        <v>294009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294009</v>
      </c>
      <c r="H642" s="104">
        <f>SUM(I461)</f>
        <v>294009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1168694.9299999997</v>
      </c>
      <c r="H647" s="104">
        <f>L208+L226+L244</f>
        <v>1168694.9300000002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542225.96</v>
      </c>
      <c r="H648" s="104">
        <f>(J257+J338)-(J255+J336)</f>
        <v>542225.96000000008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396455.16000000009</v>
      </c>
      <c r="H649" s="104">
        <f>H598</f>
        <v>396455.16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322894.36000000004</v>
      </c>
      <c r="H650" s="104">
        <f>I598</f>
        <v>322894.36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449345.41</v>
      </c>
      <c r="H651" s="104">
        <f>J598</f>
        <v>449345.41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19466.36</v>
      </c>
      <c r="H652" s="104">
        <f>K263+K345</f>
        <v>19466.36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52522.37</v>
      </c>
      <c r="H653" s="104">
        <f>K264</f>
        <v>52522.37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13673729.730000002</v>
      </c>
      <c r="G660" s="19">
        <f>(L229+L309+L359)</f>
        <v>6836433.790000001</v>
      </c>
      <c r="H660" s="19">
        <f>(L247+L328+L360)</f>
        <v>10901023.399999999</v>
      </c>
      <c r="I660" s="19">
        <f>SUM(F660:H660)</f>
        <v>31411186.920000002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59795.613666568308</v>
      </c>
      <c r="G661" s="19">
        <f>(L359/IF(SUM(L358:L360)=0,1,SUM(L358:L360))*(SUM(G97:G110)))</f>
        <v>25431.088127845956</v>
      </c>
      <c r="H661" s="19">
        <f>(L360/IF(SUM(L358:L360)=0,1,SUM(L358:L360))*(SUM(G97:G110)))</f>
        <v>36024.068205585761</v>
      </c>
      <c r="I661" s="19">
        <f>SUM(F661:H661)</f>
        <v>121250.77000000002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380277.27000000008</v>
      </c>
      <c r="G662" s="19">
        <f>(L226+L306)-(J226+J306)</f>
        <v>314894.24000000005</v>
      </c>
      <c r="H662" s="19">
        <f>(L244+L325)-(J244+J325)</f>
        <v>438012.93999999994</v>
      </c>
      <c r="I662" s="19">
        <f>SUM(F662:H662)</f>
        <v>1133184.4500000002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606506.29999999993</v>
      </c>
      <c r="G663" s="199">
        <f>SUM(G575:G587)+SUM(I602:I604)+L612</f>
        <v>463737.56</v>
      </c>
      <c r="H663" s="199">
        <f>SUM(H575:H587)+SUM(J602:J604)+L613</f>
        <v>1050688.78</v>
      </c>
      <c r="I663" s="19">
        <f>SUM(F663:H663)</f>
        <v>2120932.6399999997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12627150.546333434</v>
      </c>
      <c r="G664" s="19">
        <f>G660-SUM(G661:G663)</f>
        <v>6032370.9018721553</v>
      </c>
      <c r="H664" s="19">
        <f>H660-SUM(H661:H663)</f>
        <v>9376297.6117944121</v>
      </c>
      <c r="I664" s="19">
        <f>I660-SUM(I661:I663)</f>
        <v>28035819.060000002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791.43</v>
      </c>
      <c r="G665" s="248">
        <v>391.37</v>
      </c>
      <c r="H665" s="248">
        <v>554.39</v>
      </c>
      <c r="I665" s="19">
        <f>SUM(F665:H665)</f>
        <v>1737.19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15954.85</v>
      </c>
      <c r="G667" s="19">
        <f>ROUND(G664/G665,2)</f>
        <v>15413.47</v>
      </c>
      <c r="H667" s="19">
        <f>ROUND(H664/H665,2)</f>
        <v>16912.82</v>
      </c>
      <c r="I667" s="19">
        <f>ROUND(I664/I665,2)</f>
        <v>16138.6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-2.5</v>
      </c>
      <c r="I670" s="19">
        <f>SUM(F670:H670)</f>
        <v>-2.5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15954.85</v>
      </c>
      <c r="G672" s="19">
        <f>ROUND((G664+G669)/(G665+G670),2)</f>
        <v>15413.47</v>
      </c>
      <c r="H672" s="19">
        <f>ROUND((H664+H669)/(H665+H670),2)</f>
        <v>16989.43</v>
      </c>
      <c r="I672" s="19">
        <f>ROUND((I664+I669)/(I665+I670),2)</f>
        <v>16161.86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22" zoomScale="130" zoomScaleNormal="130" workbookViewId="0">
      <selection activeCell="K40" sqref="K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Claremont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6199529.7299999995</v>
      </c>
      <c r="C9" s="229">
        <f>'DOE25'!G197+'DOE25'!G215+'DOE25'!G233+'DOE25'!G276+'DOE25'!G295+'DOE25'!G314</f>
        <v>3681332.9000000004</v>
      </c>
    </row>
    <row r="10" spans="1:3" x14ac:dyDescent="0.2">
      <c r="A10" t="s">
        <v>779</v>
      </c>
      <c r="B10" s="240">
        <v>6009429.6600000001</v>
      </c>
      <c r="C10" s="240">
        <v>3633916.71</v>
      </c>
    </row>
    <row r="11" spans="1:3" x14ac:dyDescent="0.2">
      <c r="A11" t="s">
        <v>780</v>
      </c>
      <c r="B11" s="240">
        <v>157939.53</v>
      </c>
      <c r="C11" s="240">
        <v>44843.35</v>
      </c>
    </row>
    <row r="12" spans="1:3" x14ac:dyDescent="0.2">
      <c r="A12" t="s">
        <v>781</v>
      </c>
      <c r="B12" s="240">
        <v>32160.54</v>
      </c>
      <c r="C12" s="240">
        <v>2572.84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6199529.7300000004</v>
      </c>
      <c r="C13" s="231">
        <f>SUM(C10:C12)</f>
        <v>3681332.9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3426034.3699999996</v>
      </c>
      <c r="C18" s="229">
        <f>'DOE25'!G198+'DOE25'!G216+'DOE25'!G234+'DOE25'!G277+'DOE25'!G296+'DOE25'!G315</f>
        <v>1362806.3100000003</v>
      </c>
    </row>
    <row r="19" spans="1:3" x14ac:dyDescent="0.2">
      <c r="A19" t="s">
        <v>779</v>
      </c>
      <c r="B19" s="240">
        <v>1812391.12</v>
      </c>
      <c r="C19" s="240">
        <v>977677.25</v>
      </c>
    </row>
    <row r="20" spans="1:3" x14ac:dyDescent="0.2">
      <c r="A20" t="s">
        <v>780</v>
      </c>
      <c r="B20" s="240">
        <v>1613643.25</v>
      </c>
      <c r="C20" s="240">
        <v>385129.06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3426034.37</v>
      </c>
      <c r="C22" s="231">
        <f>SUM(C19:C21)</f>
        <v>1362806.31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718978.33</v>
      </c>
      <c r="C27" s="234">
        <f>'DOE25'!G199+'DOE25'!G217+'DOE25'!G235+'DOE25'!G278+'DOE25'!G297+'DOE25'!G316</f>
        <v>369683.51</v>
      </c>
    </row>
    <row r="28" spans="1:3" x14ac:dyDescent="0.2">
      <c r="A28" t="s">
        <v>779</v>
      </c>
      <c r="B28" s="240">
        <v>655848.32999999996</v>
      </c>
      <c r="C28" s="240">
        <v>320045.58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63130</v>
      </c>
      <c r="C30" s="240">
        <v>49637.93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718978.33</v>
      </c>
      <c r="C31" s="231">
        <f>SUM(C28:C30)</f>
        <v>369683.51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242809.38</v>
      </c>
      <c r="C36" s="235">
        <f>'DOE25'!G200+'DOE25'!G218+'DOE25'!G236+'DOE25'!G279+'DOE25'!G298+'DOE25'!G317</f>
        <v>59123.869999999995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242809.38</v>
      </c>
      <c r="C39" s="240">
        <v>59123.87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242809.38</v>
      </c>
      <c r="C40" s="231">
        <f>SUM(C37:C39)</f>
        <v>59123.87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zoomScale="120" zoomScaleNormal="120"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Claremont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18865788.370000001</v>
      </c>
      <c r="D5" s="20">
        <f>SUM('DOE25'!L197:L200)+SUM('DOE25'!L215:L218)+SUM('DOE25'!L233:L236)-F5-G5</f>
        <v>18566123.550000001</v>
      </c>
      <c r="E5" s="243"/>
      <c r="F5" s="255">
        <f>SUM('DOE25'!J197:J200)+SUM('DOE25'!J215:J218)+SUM('DOE25'!J233:J236)</f>
        <v>279201.28000000003</v>
      </c>
      <c r="G5" s="53">
        <f>SUM('DOE25'!K197:K200)+SUM('DOE25'!K215:K218)+SUM('DOE25'!K233:K236)</f>
        <v>20463.54</v>
      </c>
      <c r="H5" s="259"/>
    </row>
    <row r="6" spans="1:9" x14ac:dyDescent="0.2">
      <c r="A6" s="32">
        <v>2100</v>
      </c>
      <c r="B6" t="s">
        <v>801</v>
      </c>
      <c r="C6" s="245">
        <f t="shared" si="0"/>
        <v>1816630.99</v>
      </c>
      <c r="D6" s="20">
        <f>'DOE25'!L202+'DOE25'!L220+'DOE25'!L238-F6-G6</f>
        <v>1811324.64</v>
      </c>
      <c r="E6" s="243"/>
      <c r="F6" s="255">
        <f>'DOE25'!J202+'DOE25'!J220+'DOE25'!J238</f>
        <v>1284.3499999999999</v>
      </c>
      <c r="G6" s="53">
        <f>'DOE25'!K202+'DOE25'!K220+'DOE25'!K238</f>
        <v>4022</v>
      </c>
      <c r="H6" s="259"/>
    </row>
    <row r="7" spans="1:9" x14ac:dyDescent="0.2">
      <c r="A7" s="32">
        <v>2200</v>
      </c>
      <c r="B7" t="s">
        <v>834</v>
      </c>
      <c r="C7" s="245">
        <f t="shared" si="0"/>
        <v>842336.82000000007</v>
      </c>
      <c r="D7" s="20">
        <f>'DOE25'!L203+'DOE25'!L221+'DOE25'!L239-F7-G7</f>
        <v>730692.04</v>
      </c>
      <c r="E7" s="243"/>
      <c r="F7" s="255">
        <f>'DOE25'!J203+'DOE25'!J221+'DOE25'!J239</f>
        <v>104644.76999999999</v>
      </c>
      <c r="G7" s="53">
        <f>'DOE25'!K203+'DOE25'!K221+'DOE25'!K239</f>
        <v>7000.01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1240480.8999999999</v>
      </c>
      <c r="D8" s="243"/>
      <c r="E8" s="20">
        <f>'DOE25'!L204+'DOE25'!L222+'DOE25'!L240-F8-G8-D9-D11</f>
        <v>1221115.7999999998</v>
      </c>
      <c r="F8" s="255">
        <f>'DOE25'!J204+'DOE25'!J222+'DOE25'!J240</f>
        <v>19365.099999999999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64105.919999999998</v>
      </c>
      <c r="D9" s="244">
        <v>64105.919999999998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17392</v>
      </c>
      <c r="D10" s="243"/>
      <c r="E10" s="244">
        <v>17392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259685.86</v>
      </c>
      <c r="D11" s="244">
        <v>259685.86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2178130.3899999997</v>
      </c>
      <c r="D12" s="20">
        <f>'DOE25'!L205+'DOE25'!L223+'DOE25'!L241-F12-G12</f>
        <v>2167442.83</v>
      </c>
      <c r="E12" s="243"/>
      <c r="F12" s="255">
        <f>'DOE25'!J205+'DOE25'!J223+'DOE25'!J241</f>
        <v>1543.01</v>
      </c>
      <c r="G12" s="53">
        <f>'DOE25'!K205+'DOE25'!K223+'DOE25'!K241</f>
        <v>9144.5499999999993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2681524.4500000002</v>
      </c>
      <c r="D14" s="20">
        <f>'DOE25'!L207+'DOE25'!L225+'DOE25'!L243-F14-G14</f>
        <v>2671804.25</v>
      </c>
      <c r="E14" s="243"/>
      <c r="F14" s="255">
        <f>'DOE25'!J207+'DOE25'!J225+'DOE25'!J243</f>
        <v>9720.2000000000007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1168694.9300000002</v>
      </c>
      <c r="D15" s="20">
        <f>'DOE25'!L208+'DOE25'!L226+'DOE25'!L244-F15-G15</f>
        <v>1127546.0100000002</v>
      </c>
      <c r="E15" s="243"/>
      <c r="F15" s="255">
        <f>'DOE25'!J208+'DOE25'!J226+'DOE25'!J244</f>
        <v>39913</v>
      </c>
      <c r="G15" s="53">
        <f>'DOE25'!K208+'DOE25'!K226+'DOE25'!K244</f>
        <v>1235.92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1482181.25</v>
      </c>
      <c r="D25" s="243"/>
      <c r="E25" s="243"/>
      <c r="F25" s="258"/>
      <c r="G25" s="256"/>
      <c r="H25" s="257">
        <f>'DOE25'!L260+'DOE25'!L261+'DOE25'!L341+'DOE25'!L342</f>
        <v>1482181.25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248116.52999999997</v>
      </c>
      <c r="D29" s="20">
        <f>'DOE25'!L358+'DOE25'!L359+'DOE25'!L360-'DOE25'!I367-F29-G29</f>
        <v>233694.93999999997</v>
      </c>
      <c r="E29" s="243"/>
      <c r="F29" s="255">
        <f>'DOE25'!J358+'DOE25'!J359+'DOE25'!J360</f>
        <v>14284.09</v>
      </c>
      <c r="G29" s="53">
        <f>'DOE25'!K358+'DOE25'!K359+'DOE25'!K360</f>
        <v>137.5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1853019.71</v>
      </c>
      <c r="D31" s="20">
        <f>'DOE25'!L290+'DOE25'!L309+'DOE25'!L328+'DOE25'!L333+'DOE25'!L334+'DOE25'!L335-F31-G31</f>
        <v>1721126.18</v>
      </c>
      <c r="E31" s="243"/>
      <c r="F31" s="255">
        <f>'DOE25'!J290+'DOE25'!J309+'DOE25'!J328+'DOE25'!J333+'DOE25'!J334+'DOE25'!J335</f>
        <v>86554.250000000015</v>
      </c>
      <c r="G31" s="53">
        <f>'DOE25'!K290+'DOE25'!K309+'DOE25'!K328+'DOE25'!K333+'DOE25'!K334+'DOE25'!K335</f>
        <v>45339.28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29353546.220000006</v>
      </c>
      <c r="E33" s="246">
        <f>SUM(E5:E31)</f>
        <v>1238507.7999999998</v>
      </c>
      <c r="F33" s="246">
        <f>SUM(F5:F31)</f>
        <v>556510.05000000005</v>
      </c>
      <c r="G33" s="246">
        <f>SUM(G5:G31)</f>
        <v>87342.8</v>
      </c>
      <c r="H33" s="246">
        <f>SUM(H5:H31)</f>
        <v>1482181.25</v>
      </c>
    </row>
    <row r="35" spans="2:8" ht="12" thickBot="1" x14ac:dyDescent="0.25">
      <c r="B35" s="253" t="s">
        <v>847</v>
      </c>
      <c r="D35" s="254">
        <f>E33</f>
        <v>1238507.7999999998</v>
      </c>
      <c r="E35" s="249"/>
    </row>
    <row r="36" spans="2:8" ht="12" thickTop="1" x14ac:dyDescent="0.2">
      <c r="B36" t="s">
        <v>815</v>
      </c>
      <c r="D36" s="20">
        <f>D33</f>
        <v>29353546.220000006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110" zoomScaleNormal="110" workbookViewId="0">
      <pane ySplit="2" topLeftCell="A3" activePane="bottomLeft" state="frozen"/>
      <selection activeCell="F46" sqref="F46"/>
      <selection pane="bottomLeft" activeCell="D18" sqref="D1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Claremont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1511621.28</v>
      </c>
      <c r="D8" s="95">
        <f>'DOE25'!G9</f>
        <v>0</v>
      </c>
      <c r="E8" s="95">
        <f>'DOE25'!H9</f>
        <v>0</v>
      </c>
      <c r="F8" s="95">
        <f>'DOE25'!I9</f>
        <v>597534.02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822791.05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28868.75</v>
      </c>
      <c r="E12" s="95">
        <f>'DOE25'!H13</f>
        <v>533699.67000000004</v>
      </c>
      <c r="F12" s="95">
        <f>'DOE25'!I13</f>
        <v>0</v>
      </c>
      <c r="G12" s="95">
        <f>'DOE25'!J13</f>
        <v>294009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65837.66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17086.509999999998</v>
      </c>
      <c r="D15" s="95">
        <f>'DOE25'!G16</f>
        <v>11099.3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7903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2425239.5</v>
      </c>
      <c r="D18" s="41">
        <f>SUM(D8:D17)</f>
        <v>39968.050000000003</v>
      </c>
      <c r="E18" s="41">
        <f>SUM(E8:E17)</f>
        <v>533699.67000000004</v>
      </c>
      <c r="F18" s="41">
        <f>SUM(F8:F17)</f>
        <v>597534.02</v>
      </c>
      <c r="G18" s="41">
        <f>SUM(G8:G17)</f>
        <v>294009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27216.98</v>
      </c>
      <c r="E21" s="95">
        <f>'DOE25'!H22</f>
        <v>198776.61</v>
      </c>
      <c r="F21" s="95">
        <f>'DOE25'!I22</f>
        <v>596797.46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129083.61</v>
      </c>
      <c r="D23" s="95">
        <f>'DOE25'!G24</f>
        <v>0</v>
      </c>
      <c r="E23" s="95">
        <f>'DOE25'!H24</f>
        <v>6680.48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432380.23000000004</v>
      </c>
      <c r="D27" s="95">
        <f>'DOE25'!G28</f>
        <v>1010.09</v>
      </c>
      <c r="E27" s="95">
        <f>'DOE25'!H28</f>
        <v>21790.38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18626.8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561463.84000000008</v>
      </c>
      <c r="D31" s="41">
        <f>SUM(D21:D30)</f>
        <v>28227.07</v>
      </c>
      <c r="E31" s="41">
        <f>SUM(E21:E30)</f>
        <v>245874.27</v>
      </c>
      <c r="F31" s="41">
        <f>SUM(F21:F30)</f>
        <v>596797.46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17086.509999999998</v>
      </c>
      <c r="D34" s="95">
        <f>'DOE25'!G35</f>
        <v>11099.3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7903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395321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287075.97000000009</v>
      </c>
      <c r="D47" s="95">
        <f>'DOE25'!G48</f>
        <v>641.68000000000029</v>
      </c>
      <c r="E47" s="95">
        <f>'DOE25'!H48</f>
        <v>287825.40000000002</v>
      </c>
      <c r="F47" s="95">
        <f>'DOE25'!I48</f>
        <v>736.56000000005588</v>
      </c>
      <c r="G47" s="95">
        <f>'DOE25'!J48</f>
        <v>294009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611909.44999999995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544479.73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1863775.6600000001</v>
      </c>
      <c r="D50" s="41">
        <f>SUM(D34:D49)</f>
        <v>11740.98</v>
      </c>
      <c r="E50" s="41">
        <f>SUM(E34:E49)</f>
        <v>287825.40000000002</v>
      </c>
      <c r="F50" s="41">
        <f>SUM(F34:F49)</f>
        <v>736.56000000005588</v>
      </c>
      <c r="G50" s="41">
        <f>SUM(G34:G49)</f>
        <v>294009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2425239.5</v>
      </c>
      <c r="D51" s="41">
        <f>D50+D31</f>
        <v>39968.050000000003</v>
      </c>
      <c r="E51" s="41">
        <f>E50+E31</f>
        <v>533699.67000000004</v>
      </c>
      <c r="F51" s="41">
        <f>F50+F31</f>
        <v>597534.02</v>
      </c>
      <c r="G51" s="41">
        <f>G50+G31</f>
        <v>294009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13976989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586268.46</v>
      </c>
      <c r="D57" s="24" t="s">
        <v>289</v>
      </c>
      <c r="E57" s="95">
        <f>'DOE25'!H79</f>
        <v>9445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6761.5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41691.61</v>
      </c>
      <c r="D59" s="95">
        <f>'DOE25'!G96</f>
        <v>0</v>
      </c>
      <c r="E59" s="95">
        <f>'DOE25'!H96</f>
        <v>3542.6</v>
      </c>
      <c r="F59" s="95">
        <f>'DOE25'!I96</f>
        <v>4036.37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121250.77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561913.22</v>
      </c>
      <c r="D61" s="95">
        <f>SUM('DOE25'!G98:G110)</f>
        <v>0</v>
      </c>
      <c r="E61" s="95">
        <f>SUM('DOE25'!H98:H110)</f>
        <v>149781.07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1196634.79</v>
      </c>
      <c r="D62" s="130">
        <f>SUM(D57:D61)</f>
        <v>121250.77</v>
      </c>
      <c r="E62" s="130">
        <f>SUM(E57:E61)</f>
        <v>162768.67000000001</v>
      </c>
      <c r="F62" s="130">
        <f>SUM(F57:F61)</f>
        <v>4036.37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15173623.789999999</v>
      </c>
      <c r="D63" s="22">
        <f>D56+D62</f>
        <v>121250.77</v>
      </c>
      <c r="E63" s="22">
        <f>E56+E62</f>
        <v>162768.67000000001</v>
      </c>
      <c r="F63" s="22">
        <f>F56+F62</f>
        <v>4036.37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12637470.279999999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1835855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14473325.279999999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99000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379770.4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11168.39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955.46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489938.79000000004</v>
      </c>
      <c r="D78" s="130">
        <f>SUM(D72:D77)</f>
        <v>955.46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14963264.07</v>
      </c>
      <c r="D81" s="130">
        <f>SUM(D79:D80)+D78+D70</f>
        <v>955.46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72233.58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504097.73</v>
      </c>
      <c r="D88" s="95">
        <f>SUM('DOE25'!G153:G161)</f>
        <v>445973.51000000007</v>
      </c>
      <c r="E88" s="95">
        <f>SUM('DOE25'!H153:H161)</f>
        <v>1620841.6400000001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576331.30999999994</v>
      </c>
      <c r="D91" s="131">
        <f>SUM(D85:D90)</f>
        <v>445973.51000000007</v>
      </c>
      <c r="E91" s="131">
        <f>SUM(E85:E90)</f>
        <v>1620841.6400000001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1637806.76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19466.36</v>
      </c>
      <c r="E96" s="95">
        <f>'DOE25'!H179</f>
        <v>52522.37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19466.36</v>
      </c>
      <c r="E103" s="86">
        <f>SUM(E93:E102)</f>
        <v>52522.37</v>
      </c>
      <c r="F103" s="86">
        <f>SUM(F93:F102)</f>
        <v>1637806.76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30713219.169999998</v>
      </c>
      <c r="D104" s="86">
        <f>D63+D81+D91+D103</f>
        <v>587646.10000000009</v>
      </c>
      <c r="E104" s="86">
        <f>E63+E81+E91+E103</f>
        <v>1836132.6800000002</v>
      </c>
      <c r="F104" s="86">
        <f>F63+F81+F91+F103</f>
        <v>1641843.1300000001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10282249.109999999</v>
      </c>
      <c r="D109" s="24" t="s">
        <v>289</v>
      </c>
      <c r="E109" s="95">
        <f>('DOE25'!L276)+('DOE25'!L295)+('DOE25'!L314)</f>
        <v>591164.93000000005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6989319.54</v>
      </c>
      <c r="D110" s="24" t="s">
        <v>289</v>
      </c>
      <c r="E110" s="95">
        <f>('DOE25'!L277)+('DOE25'!L296)+('DOE25'!L315)</f>
        <v>440138.08999999997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1179532.05</v>
      </c>
      <c r="D111" s="24" t="s">
        <v>289</v>
      </c>
      <c r="E111" s="95">
        <f>('DOE25'!L278)+('DOE25'!L297)+('DOE25'!L316)</f>
        <v>44065.83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414687.67</v>
      </c>
      <c r="D112" s="24" t="s">
        <v>289</v>
      </c>
      <c r="E112" s="95">
        <f>+('DOE25'!L279)+('DOE25'!L298)+('DOE25'!L317)</f>
        <v>15021.23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140626.60999999999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18865788.370000001</v>
      </c>
      <c r="D115" s="86">
        <f>SUM(D109:D114)</f>
        <v>0</v>
      </c>
      <c r="E115" s="86">
        <f>SUM(E109:E114)</f>
        <v>1231016.69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1816630.99</v>
      </c>
      <c r="D118" s="24" t="s">
        <v>289</v>
      </c>
      <c r="E118" s="95">
        <f>+('DOE25'!L281)+('DOE25'!L300)+('DOE25'!L319)</f>
        <v>437302.57999999996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842336.82000000007</v>
      </c>
      <c r="D119" s="24" t="s">
        <v>289</v>
      </c>
      <c r="E119" s="95">
        <f>+('DOE25'!L282)+('DOE25'!L301)+('DOE25'!L320)</f>
        <v>23487.690000000002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1564272.6799999997</v>
      </c>
      <c r="D120" s="24" t="s">
        <v>289</v>
      </c>
      <c r="E120" s="95">
        <f>+('DOE25'!L283)+('DOE25'!L302)+('DOE25'!L321)</f>
        <v>14385.66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2178130.3899999997</v>
      </c>
      <c r="D121" s="24" t="s">
        <v>289</v>
      </c>
      <c r="E121" s="95">
        <f>+('DOE25'!L284)+('DOE25'!L303)+('DOE25'!L322)</f>
        <v>60923.12999999999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32488.359999999997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2681524.4500000002</v>
      </c>
      <c r="D123" s="24" t="s">
        <v>289</v>
      </c>
      <c r="E123" s="95">
        <f>+('DOE25'!L286)+('DOE25'!L305)+('DOE25'!L324)</f>
        <v>1800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1168694.9300000002</v>
      </c>
      <c r="D124" s="24" t="s">
        <v>289</v>
      </c>
      <c r="E124" s="95">
        <f>+('DOE25'!L287)+('DOE25'!L306)+('DOE25'!L325)</f>
        <v>4402.5200000000004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47213.08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581415.18999999994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10251590.26</v>
      </c>
      <c r="D128" s="86">
        <f>SUM(D118:D127)</f>
        <v>581415.18999999994</v>
      </c>
      <c r="E128" s="86">
        <f>SUM(E118:E127)</f>
        <v>622003.0199999999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7087196.5699999994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895000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587181.25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19466.36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52522.37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1554169.9800000002</v>
      </c>
      <c r="D144" s="141">
        <f>SUM(D130:D143)</f>
        <v>0</v>
      </c>
      <c r="E144" s="141">
        <f>SUM(E130:E143)</f>
        <v>0</v>
      </c>
      <c r="F144" s="141">
        <f>SUM(F130:F143)</f>
        <v>7087196.5699999994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30671548.610000003</v>
      </c>
      <c r="D145" s="86">
        <f>(D115+D128+D144)</f>
        <v>581415.18999999994</v>
      </c>
      <c r="E145" s="86">
        <f>(E115+E128+E144)</f>
        <v>1853019.71</v>
      </c>
      <c r="F145" s="86">
        <f>(F115+F128+F144)</f>
        <v>7087196.5699999994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10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08/95</v>
      </c>
      <c r="C152" s="152" t="str">
        <f>'DOE25'!G491</f>
        <v>08/13</v>
      </c>
      <c r="D152" s="152">
        <f>'DOE25'!H491</f>
        <v>0.92307692307692313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08/15</v>
      </c>
      <c r="C153" s="152" t="str">
        <f>'DOE25'!G492</f>
        <v>08/33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6600000</v>
      </c>
      <c r="C154" s="137">
        <f>'DOE25'!G493</f>
        <v>11195000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5.43</v>
      </c>
      <c r="C155" s="137">
        <f>'DOE25'!G494</f>
        <v>3.58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660000</v>
      </c>
      <c r="C156" s="137">
        <f>'DOE25'!G495</f>
        <v>11195000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11855000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330000</v>
      </c>
      <c r="C158" s="137">
        <f>'DOE25'!G497</f>
        <v>565000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895000</v>
      </c>
    </row>
    <row r="159" spans="1:9" x14ac:dyDescent="0.2">
      <c r="A159" s="22" t="s">
        <v>35</v>
      </c>
      <c r="B159" s="137">
        <f>'DOE25'!F498</f>
        <v>330000</v>
      </c>
      <c r="C159" s="137">
        <f>'DOE25'!G498</f>
        <v>10630000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10960000</v>
      </c>
    </row>
    <row r="160" spans="1:9" x14ac:dyDescent="0.2">
      <c r="A160" s="22" t="s">
        <v>36</v>
      </c>
      <c r="B160" s="137">
        <f>'DOE25'!F499</f>
        <v>9281.25</v>
      </c>
      <c r="C160" s="137">
        <f>'DOE25'!G499</f>
        <v>5094100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5103381.25</v>
      </c>
    </row>
    <row r="161" spans="1:7" x14ac:dyDescent="0.2">
      <c r="A161" s="22" t="s">
        <v>37</v>
      </c>
      <c r="B161" s="137">
        <f>'DOE25'!F500</f>
        <v>339281.25</v>
      </c>
      <c r="C161" s="137">
        <f>'DOE25'!G500</f>
        <v>15724100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16063381.25</v>
      </c>
    </row>
    <row r="162" spans="1:7" x14ac:dyDescent="0.2">
      <c r="A162" s="22" t="s">
        <v>38</v>
      </c>
      <c r="B162" s="137">
        <f>'DOE25'!F501</f>
        <v>330000</v>
      </c>
      <c r="C162" s="137">
        <f>'DOE25'!G501</f>
        <v>565000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895000</v>
      </c>
    </row>
    <row r="163" spans="1:7" x14ac:dyDescent="0.2">
      <c r="A163" s="22" t="s">
        <v>39</v>
      </c>
      <c r="B163" s="137">
        <f>'DOE25'!F502</f>
        <v>9281.25</v>
      </c>
      <c r="C163" s="137">
        <f>'DOE25'!G502</f>
        <v>400781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410062.25</v>
      </c>
    </row>
    <row r="164" spans="1:7" x14ac:dyDescent="0.2">
      <c r="A164" s="22" t="s">
        <v>246</v>
      </c>
      <c r="B164" s="137">
        <f>'DOE25'!F503</f>
        <v>339281.25</v>
      </c>
      <c r="C164" s="137">
        <f>'DOE25'!G503</f>
        <v>965781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1305062.25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Claremont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15955</v>
      </c>
    </row>
    <row r="5" spans="1:4" x14ac:dyDescent="0.2">
      <c r="B5" t="s">
        <v>704</v>
      </c>
      <c r="C5" s="179">
        <f>IF('DOE25'!G665+'DOE25'!G670=0,0,ROUND('DOE25'!G672,0))</f>
        <v>15413</v>
      </c>
    </row>
    <row r="6" spans="1:4" x14ac:dyDescent="0.2">
      <c r="B6" t="s">
        <v>62</v>
      </c>
      <c r="C6" s="179">
        <f>IF('DOE25'!H665+'DOE25'!H670=0,0,ROUND('DOE25'!H672,0))</f>
        <v>16989</v>
      </c>
    </row>
    <row r="7" spans="1:4" x14ac:dyDescent="0.2">
      <c r="B7" t="s">
        <v>705</v>
      </c>
      <c r="C7" s="179">
        <f>IF('DOE25'!I665+'DOE25'!I670=0,0,ROUND('DOE25'!I672,0))</f>
        <v>16162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10873414</v>
      </c>
      <c r="D10" s="182">
        <f>ROUND((C10/$C$28)*100,1)</f>
        <v>34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7429458</v>
      </c>
      <c r="D11" s="182">
        <f>ROUND((C11/$C$28)*100,1)</f>
        <v>23.2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1223598</v>
      </c>
      <c r="D12" s="182">
        <f>ROUND((C12/$C$28)*100,1)</f>
        <v>3.8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429709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2253934</v>
      </c>
      <c r="D15" s="182">
        <f t="shared" ref="D15:D27" si="0">ROUND((C15/$C$28)*100,1)</f>
        <v>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865825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1625871</v>
      </c>
      <c r="D17" s="182">
        <f t="shared" si="0"/>
        <v>5.0999999999999996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2239054</v>
      </c>
      <c r="D18" s="182">
        <f t="shared" si="0"/>
        <v>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32488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2683324</v>
      </c>
      <c r="D20" s="182">
        <f t="shared" si="0"/>
        <v>8.4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1173097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140627</v>
      </c>
      <c r="D24" s="182">
        <f t="shared" si="0"/>
        <v>0.4</v>
      </c>
    </row>
    <row r="25" spans="1:4" x14ac:dyDescent="0.2">
      <c r="A25">
        <v>5120</v>
      </c>
      <c r="B25" t="s">
        <v>720</v>
      </c>
      <c r="C25" s="179">
        <f>ROUND('DOE25'!L261+'DOE25'!L342,0)</f>
        <v>587181</v>
      </c>
      <c r="D25" s="182">
        <f t="shared" si="0"/>
        <v>1.8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460164.23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32017744.23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7087197</v>
      </c>
    </row>
    <row r="30" spans="1:4" x14ac:dyDescent="0.2">
      <c r="B30" s="187" t="s">
        <v>729</v>
      </c>
      <c r="C30" s="180">
        <f>SUM(C28:C29)</f>
        <v>39104941.230000004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895000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13976989</v>
      </c>
      <c r="D35" s="182">
        <f t="shared" ref="D35:D40" si="1">ROUND((C35/$C$41)*100,1)</f>
        <v>42.4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1363439.83</v>
      </c>
      <c r="D36" s="182">
        <f t="shared" si="1"/>
        <v>4.0999999999999996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14473325</v>
      </c>
      <c r="D37" s="182">
        <f t="shared" si="1"/>
        <v>43.9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490894</v>
      </c>
      <c r="D38" s="182">
        <f t="shared" si="1"/>
        <v>1.5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2643146</v>
      </c>
      <c r="D39" s="182">
        <f t="shared" si="1"/>
        <v>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32947793.829999998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1637807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Claremont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2015-11-10T17:50:56Z</cp:lastPrinted>
  <dcterms:created xsi:type="dcterms:W3CDTF">1997-12-04T19:04:30Z</dcterms:created>
  <dcterms:modified xsi:type="dcterms:W3CDTF">2015-12-18T14:03:42Z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