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3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0" i="12" l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C17" i="10" s="1"/>
  <c r="L240" i="1"/>
  <c r="E8" i="13" s="1"/>
  <c r="C8" i="13" s="1"/>
  <c r="D39" i="13"/>
  <c r="F13" i="13"/>
  <c r="G13" i="13"/>
  <c r="L206" i="1"/>
  <c r="C19" i="10" s="1"/>
  <c r="L224" i="1"/>
  <c r="L242" i="1"/>
  <c r="F16" i="13"/>
  <c r="G16" i="13"/>
  <c r="L209" i="1"/>
  <c r="L227" i="1"/>
  <c r="L245" i="1"/>
  <c r="E16" i="13" s="1"/>
  <c r="F5" i="13"/>
  <c r="G5" i="13"/>
  <c r="L197" i="1"/>
  <c r="L198" i="1"/>
  <c r="L199" i="1"/>
  <c r="C12" i="10" s="1"/>
  <c r="L200" i="1"/>
  <c r="L215" i="1"/>
  <c r="L216" i="1"/>
  <c r="L229" i="1" s="1"/>
  <c r="L217" i="1"/>
  <c r="L218" i="1"/>
  <c r="L233" i="1"/>
  <c r="L234" i="1"/>
  <c r="L247" i="1" s="1"/>
  <c r="L235" i="1"/>
  <c r="L236" i="1"/>
  <c r="F6" i="13"/>
  <c r="G6" i="13"/>
  <c r="L202" i="1"/>
  <c r="C15" i="10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C18" i="10" s="1"/>
  <c r="L241" i="1"/>
  <c r="D12" i="13" s="1"/>
  <c r="C12" i="13" s="1"/>
  <c r="F14" i="13"/>
  <c r="G14" i="13"/>
  <c r="L207" i="1"/>
  <c r="D14" i="13" s="1"/>
  <c r="C14" i="13" s="1"/>
  <c r="L225" i="1"/>
  <c r="L243" i="1"/>
  <c r="F15" i="13"/>
  <c r="G15" i="13"/>
  <c r="L208" i="1"/>
  <c r="C21" i="10" s="1"/>
  <c r="L226" i="1"/>
  <c r="L244" i="1"/>
  <c r="F17" i="13"/>
  <c r="D17" i="13" s="1"/>
  <c r="C17" i="13" s="1"/>
  <c r="G17" i="13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L359" i="1"/>
  <c r="D127" i="2" s="1"/>
  <c r="D128" i="2" s="1"/>
  <c r="L360" i="1"/>
  <c r="H661" i="1" s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E112" i="2" s="1"/>
  <c r="L281" i="1"/>
  <c r="E118" i="2" s="1"/>
  <c r="L282" i="1"/>
  <c r="L283" i="1"/>
  <c r="L284" i="1"/>
  <c r="E121" i="2" s="1"/>
  <c r="L285" i="1"/>
  <c r="E122" i="2" s="1"/>
  <c r="L286" i="1"/>
  <c r="L287" i="1"/>
  <c r="L288" i="1"/>
  <c r="E125" i="2" s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G147" i="1"/>
  <c r="G162" i="1"/>
  <c r="H147" i="1"/>
  <c r="H162" i="1"/>
  <c r="H169" i="1" s="1"/>
  <c r="I147" i="1"/>
  <c r="I162" i="1"/>
  <c r="C11" i="10"/>
  <c r="C16" i="10"/>
  <c r="C20" i="10"/>
  <c r="L250" i="1"/>
  <c r="L332" i="1"/>
  <c r="L254" i="1"/>
  <c r="L268" i="1"/>
  <c r="L269" i="1"/>
  <c r="C143" i="2" s="1"/>
  <c r="L349" i="1"/>
  <c r="C26" i="10" s="1"/>
  <c r="L350" i="1"/>
  <c r="I665" i="1"/>
  <c r="I670" i="1"/>
  <c r="L211" i="1"/>
  <c r="G661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K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L270" i="1" s="1"/>
  <c r="C132" i="2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C113" i="2"/>
  <c r="E113" i="2"/>
  <c r="C114" i="2"/>
  <c r="D115" i="2"/>
  <c r="F115" i="2"/>
  <c r="G115" i="2"/>
  <c r="C119" i="2"/>
  <c r="E119" i="2"/>
  <c r="E120" i="2"/>
  <c r="C121" i="2"/>
  <c r="C123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K257" i="1" s="1"/>
  <c r="K271" i="1" s="1"/>
  <c r="F247" i="1"/>
  <c r="G247" i="1"/>
  <c r="H247" i="1"/>
  <c r="I247" i="1"/>
  <c r="J247" i="1"/>
  <c r="K247" i="1"/>
  <c r="F256" i="1"/>
  <c r="G256" i="1"/>
  <c r="L256" i="1" s="1"/>
  <c r="L257" i="1" s="1"/>
  <c r="L271" i="1" s="1"/>
  <c r="G632" i="1" s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H408" i="1" s="1"/>
  <c r="H644" i="1" s="1"/>
  <c r="J644" i="1" s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G470" i="1"/>
  <c r="H470" i="1"/>
  <c r="I470" i="1"/>
  <c r="I476" i="1" s="1"/>
  <c r="H625" i="1" s="1"/>
  <c r="J470" i="1"/>
  <c r="F474" i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G545" i="1" s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F571" i="1" s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J639" i="1" s="1"/>
  <c r="G640" i="1"/>
  <c r="H640" i="1"/>
  <c r="G641" i="1"/>
  <c r="J641" i="1" s="1"/>
  <c r="H641" i="1"/>
  <c r="G643" i="1"/>
  <c r="J643" i="1" s="1"/>
  <c r="H643" i="1"/>
  <c r="G644" i="1"/>
  <c r="G645" i="1"/>
  <c r="H645" i="1"/>
  <c r="J645" i="1" s="1"/>
  <c r="G650" i="1"/>
  <c r="G651" i="1"/>
  <c r="J651" i="1" s="1"/>
  <c r="G652" i="1"/>
  <c r="H652" i="1"/>
  <c r="G653" i="1"/>
  <c r="H653" i="1"/>
  <c r="G654" i="1"/>
  <c r="H654" i="1"/>
  <c r="H655" i="1"/>
  <c r="F192" i="1"/>
  <c r="I257" i="1"/>
  <c r="G257" i="1"/>
  <c r="G271" i="1" s="1"/>
  <c r="L328" i="1"/>
  <c r="A31" i="12"/>
  <c r="D62" i="2"/>
  <c r="D63" i="2" s="1"/>
  <c r="D18" i="2"/>
  <c r="C78" i="2"/>
  <c r="D50" i="2"/>
  <c r="G161" i="2"/>
  <c r="D91" i="2"/>
  <c r="G62" i="2"/>
  <c r="D29" i="13"/>
  <c r="C29" i="13" s="1"/>
  <c r="J617" i="1"/>
  <c r="E78" i="2"/>
  <c r="H112" i="1"/>
  <c r="K605" i="1"/>
  <c r="G648" i="1" s="1"/>
  <c r="L419" i="1"/>
  <c r="I169" i="1"/>
  <c r="G552" i="1"/>
  <c r="J476" i="1"/>
  <c r="H626" i="1" s="1"/>
  <c r="F476" i="1"/>
  <c r="H622" i="1" s="1"/>
  <c r="J622" i="1" s="1"/>
  <c r="G476" i="1"/>
  <c r="H623" i="1" s="1"/>
  <c r="J623" i="1" s="1"/>
  <c r="G338" i="1"/>
  <c r="G352" i="1" s="1"/>
  <c r="J140" i="1"/>
  <c r="H257" i="1"/>
  <c r="H271" i="1" s="1"/>
  <c r="K550" i="1"/>
  <c r="G22" i="2"/>
  <c r="J552" i="1"/>
  <c r="H140" i="1"/>
  <c r="F22" i="13"/>
  <c r="C22" i="13" s="1"/>
  <c r="J640" i="1"/>
  <c r="H338" i="1"/>
  <c r="H352" i="1" s="1"/>
  <c r="F338" i="1"/>
  <c r="F352" i="1" s="1"/>
  <c r="H192" i="1"/>
  <c r="D5" i="13"/>
  <c r="C5" i="13" s="1"/>
  <c r="L570" i="1"/>
  <c r="G36" i="2"/>
  <c r="H545" i="1"/>
  <c r="A13" i="12" l="1"/>
  <c r="C16" i="13"/>
  <c r="J647" i="1"/>
  <c r="E128" i="2"/>
  <c r="E115" i="2"/>
  <c r="C81" i="2"/>
  <c r="H660" i="1"/>
  <c r="H664" i="1" s="1"/>
  <c r="L290" i="1"/>
  <c r="F660" i="1" s="1"/>
  <c r="I271" i="1"/>
  <c r="K503" i="1"/>
  <c r="L382" i="1"/>
  <c r="G636" i="1" s="1"/>
  <c r="J636" i="1" s="1"/>
  <c r="F661" i="1"/>
  <c r="I661" i="1" s="1"/>
  <c r="C10" i="10"/>
  <c r="C35" i="10"/>
  <c r="C36" i="10" s="1"/>
  <c r="C29" i="10"/>
  <c r="D6" i="13"/>
  <c r="C6" i="13" s="1"/>
  <c r="D15" i="13"/>
  <c r="C15" i="13" s="1"/>
  <c r="G649" i="1"/>
  <c r="J649" i="1" s="1"/>
  <c r="L544" i="1"/>
  <c r="L524" i="1"/>
  <c r="J338" i="1"/>
  <c r="J352" i="1" s="1"/>
  <c r="C124" i="2"/>
  <c r="C122" i="2"/>
  <c r="C120" i="2"/>
  <c r="C118" i="2"/>
  <c r="C111" i="2"/>
  <c r="C115" i="2" s="1"/>
  <c r="C56" i="2"/>
  <c r="F662" i="1"/>
  <c r="I662" i="1" s="1"/>
  <c r="C13" i="10"/>
  <c r="D145" i="2"/>
  <c r="E13" i="13"/>
  <c r="C13" i="13" s="1"/>
  <c r="L539" i="1"/>
  <c r="K352" i="1"/>
  <c r="C62" i="2"/>
  <c r="C63" i="2" s="1"/>
  <c r="K551" i="1"/>
  <c r="K552" i="1" s="1"/>
  <c r="H25" i="13"/>
  <c r="F169" i="1"/>
  <c r="E81" i="2"/>
  <c r="E104" i="2" s="1"/>
  <c r="L351" i="1"/>
  <c r="H647" i="1"/>
  <c r="G625" i="1"/>
  <c r="J625" i="1" s="1"/>
  <c r="L614" i="1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J632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H193" i="1"/>
  <c r="G629" i="1" s="1"/>
  <c r="J629" i="1" s="1"/>
  <c r="G169" i="1"/>
  <c r="C39" i="10" s="1"/>
  <c r="G140" i="1"/>
  <c r="F140" i="1"/>
  <c r="G63" i="2"/>
  <c r="G104" i="2" s="1"/>
  <c r="J618" i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8" i="1"/>
  <c r="J648" i="1" s="1"/>
  <c r="C104" i="2"/>
  <c r="J652" i="1"/>
  <c r="J642" i="1"/>
  <c r="G571" i="1"/>
  <c r="I434" i="1"/>
  <c r="G434" i="1"/>
  <c r="I663" i="1"/>
  <c r="C27" i="10"/>
  <c r="G635" i="1"/>
  <c r="J635" i="1" s="1"/>
  <c r="C28" i="10" l="1"/>
  <c r="D22" i="10" s="1"/>
  <c r="E145" i="2"/>
  <c r="D31" i="13"/>
  <c r="C31" i="13" s="1"/>
  <c r="L338" i="1"/>
  <c r="L352" i="1" s="1"/>
  <c r="G633" i="1" s="1"/>
  <c r="J633" i="1" s="1"/>
  <c r="I660" i="1"/>
  <c r="I664" i="1" s="1"/>
  <c r="I672" i="1" s="1"/>
  <c r="C7" i="10" s="1"/>
  <c r="C128" i="2"/>
  <c r="C25" i="13"/>
  <c r="H33" i="13"/>
  <c r="L545" i="1"/>
  <c r="F664" i="1"/>
  <c r="C145" i="2"/>
  <c r="G672" i="1"/>
  <c r="C5" i="10" s="1"/>
  <c r="F193" i="1"/>
  <c r="G627" i="1" s="1"/>
  <c r="J627" i="1" s="1"/>
  <c r="L408" i="1"/>
  <c r="E33" i="13"/>
  <c r="D35" i="13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4" i="10"/>
  <c r="D12" i="10"/>
  <c r="D17" i="10"/>
  <c r="D18" i="10"/>
  <c r="D27" i="10"/>
  <c r="D10" i="10" l="1"/>
  <c r="D26" i="10"/>
  <c r="C30" i="10"/>
  <c r="D16" i="10"/>
  <c r="D23" i="10"/>
  <c r="D20" i="10"/>
  <c r="D15" i="10"/>
  <c r="D25" i="10"/>
  <c r="D19" i="10"/>
  <c r="D13" i="10"/>
  <c r="D11" i="10"/>
  <c r="D21" i="10"/>
  <c r="G637" i="1"/>
  <c r="J637" i="1" s="1"/>
  <c r="H646" i="1"/>
  <c r="J646" i="1" s="1"/>
  <c r="F672" i="1"/>
  <c r="C4" i="10" s="1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<sst xmlns="http://schemas.openxmlformats.org/spreadsheetml/2006/main" count="3954" uniqueCount="912">
  <si>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</si>
  <si>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</si>
  <si>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</si>
  <si>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</si>
  <si>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</si>
  <si>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</si>
  <si>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</si>
  <si>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</si>
  <si>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</si>
  <si>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</si>
  <si>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</si>
  <si>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</si>
  <si>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</si>
  <si>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</si>
  <si>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</si>
  <si>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</si>
  <si>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</si>
  <si>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</si>
  <si>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</si>
  <si>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</si>
  <si>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</si>
  <si>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</si>
  <si>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</si>
  <si>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</si>
  <si>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</si>
  <si>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</si>
  <si>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</si>
  <si>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</si>
  <si>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</si>
  <si>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</si>
  <si>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</si>
  <si>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</si>
  <si>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</si>
  <si>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</si>
  <si>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</si>
  <si>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</si>
  <si>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</si>
  <si>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</si>
  <si>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</si>
  <si>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</si>
  <si>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</si>
  <si>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</si>
  <si>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</si>
  <si>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</si>
  <si>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</si>
  <si>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</si>
  <si>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</si>
  <si>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</si>
  <si>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</si>
  <si>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</si>
  <si>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</si>
  <si>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</si>
  <si>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</si>
  <si>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</si>
  <si>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</si>
  <si>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</si>
  <si>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</si>
  <si>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</si>
  <si>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</si>
  <si>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</si>
  <si>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</si>
  <si>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</si>
  <si>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</si>
  <si>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</si>
  <si>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</si>
  <si>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</si>
  <si>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</si>
  <si>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</si>
  <si>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</si>
  <si>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</si>
  <si>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</si>
  <si>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</si>
  <si>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</si>
  <si>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</si>
  <si>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</si>
  <si>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</si>
  <si>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</si>
  <si>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</si>
  <si>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</si>
  <si>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</si>
  <si>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</si>
  <si>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</si>
  <si>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</si>
  <si>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</si>
  <si>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</si>
  <si>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</si>
  <si>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</si>
  <si>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</si>
  <si>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</si>
  <si>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</si>
  <si>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</si>
  <si>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</si>
  <si>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</si>
  <si>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</si>
  <si>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</si>
  <si>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</si>
  <si>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</si>
  <si>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</si>
  <si>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</si>
  <si>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</si>
  <si>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</si>
  <si>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</si>
  <si>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</si>
  <si>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</si>
  <si>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</si>
  <si>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</si>
  <si>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</si>
  <si>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</si>
  <si>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</si>
  <si>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</si>
  <si>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</si>
  <si>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</si>
  <si>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</si>
  <si>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</si>
  <si>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</si>
  <si>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</si>
  <si>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</si>
  <si>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</si>
  <si>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</si>
  <si>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</si>
  <si>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</si>
  <si>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</si>
  <si>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</si>
  <si>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</si>
  <si>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</si>
  <si>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</si>
  <si>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</si>
  <si>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</si>
  <si>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</si>
  <si>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</si>
  <si>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</si>
  <si>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</si>
  <si>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</si>
  <si>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</si>
  <si>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</si>
  <si>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</si>
  <si>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</si>
  <si>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</si>
  <si>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</si>
  <si>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</si>
  <si>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</si>
  <si>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</si>
  <si>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</si>
  <si>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</si>
  <si>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</si>
  <si>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</si>
  <si>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</si>
  <si>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</si>
  <si>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</si>
  <si>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</si>
  <si>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</si>
  <si>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</si>
  <si>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</si>
  <si>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</si>
  <si>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</si>
  <si>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</si>
  <si>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</si>
  <si>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</si>
  <si>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</si>
  <si>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</si>
  <si>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</si>
  <si>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</si>
  <si>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</si>
  <si>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</si>
  <si>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</si>
  <si>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</si>
  <si>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</si>
  <si>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</si>
  <si>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</si>
  <si>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</si>
  <si>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</si>
  <si>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</si>
  <si>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</si>
  <si>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</si>
  <si>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</si>
  <si>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</si>
  <si>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</si>
  <si>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</si>
  <si>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</si>
  <si>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</si>
  <si>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</si>
  <si>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</si>
  <si>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</si>
  <si>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</si>
  <si>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</si>
  <si>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</si>
  <si>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</si>
  <si>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</si>
  <si>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</si>
  <si>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</si>
  <si>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</si>
  <si>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</si>
  <si>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</si>
  <si>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</si>
  <si>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</si>
  <si>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</si>
  <si>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</si>
  <si>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</si>
  <si>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</si>
  <si>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</si>
  <si>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</si>
  <si>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</si>
  <si>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</si>
  <si>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</si>
  <si>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</si>
  <si>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</si>
  <si>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</si>
  <si>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</si>
  <si>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</si>
  <si>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</si>
  <si>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</si>
  <si>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</si>
  <si>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</si>
  <si>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</si>
  <si>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</si>
  <si>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</si>
  <si>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</si>
  <si>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</si>
  <si>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</si>
  <si>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</si>
  <si>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</si>
  <si>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</si>
  <si>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</si>
  <si>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</si>
  <si>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</si>
  <si>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</si>
  <si>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</si>
  <si>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</si>
  <si>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</si>
  <si>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</si>
  <si>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</si>
  <si>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</si>
  <si>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</si>
  <si>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</si>
  <si>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</si>
  <si>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</si>
  <si>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</si>
  <si>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</si>
  <si>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</si>
  <si>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</si>
  <si>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</si>
  <si>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</si>
  <si>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</si>
  <si>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</si>
  <si>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</si>
  <si>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</si>
  <si>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</si>
  <si>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</si>
  <si>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</si>
  <si>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</si>
  <si>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</si>
  <si>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</si>
  <si>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</si>
  <si>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</si>
  <si>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</si>
  <si>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</si>
  <si>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</si>
  <si>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</si>
  <si>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</si>
  <si>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</si>
  <si>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</si>
  <si>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</si>
  <si>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</si>
  <si>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</si>
  <si>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</si>
  <si>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</si>
  <si>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</si>
  <si>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</si>
  <si>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</si>
  <si>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</si>
  <si>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</si>
  <si>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</si>
  <si>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</si>
  <si>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</si>
  <si>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</si>
  <si>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</si>
  <si>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</si>
  <si>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</si>
  <si>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</si>
  <si>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</si>
  <si>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</si>
  <si>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</si>
  <si>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</si>
  <si>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</si>
  <si>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</si>
  <si>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</si>
  <si>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</si>
  <si>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</si>
  <si>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</si>
  <si>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</si>
  <si>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</si>
  <si>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</si>
  <si>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</si>
  <si>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</si>
  <si>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</si>
  <si>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</si>
  <si>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</si>
  <si>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</si>
  <si>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</si>
  <si>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</si>
  <si>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</si>
  <si>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</si>
  <si>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</si>
  <si>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</si>
  <si>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</si>
  <si>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</si>
  <si>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</si>
  <si>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</si>
  <si>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</si>
  <si>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</si>
  <si>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</si>
  <si>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</si>
  <si>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</si>
  <si>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</si>
  <si>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</si>
  <si>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</si>
  <si>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</si>
  <si>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</si>
  <si>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</si>
  <si>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</si>
  <si>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</si>
  <si>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</si>
  <si>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</si>
  <si>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</si>
  <si>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</si>
  <si>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</si>
  <si>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</si>
  <si>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</si>
  <si>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</si>
  <si>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</si>
  <si>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</si>
  <si>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</si>
  <si>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</si>
  <si>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</si>
  <si>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</si>
  <si>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</si>
  <si>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</si>
  <si>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</si>
  <si>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</si>
  <si>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</si>
  <si>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</si>
  <si>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</si>
  <si>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</si>
  <si>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</si>
  <si>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</si>
  <si>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</si>
  <si>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</si>
  <si>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</si>
  <si>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</si>
  <si>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</si>
  <si>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</si>
  <si>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</si>
  <si>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</si>
  <si>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</si>
  <si>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</si>
  <si>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</si>
  <si>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</si>
  <si>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</si>
  <si>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</si>
  <si>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</si>
  <si>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</si>
  <si>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</si>
  <si>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</si>
  <si>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</si>
  <si>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</si>
  <si>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</si>
  <si>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</si>
  <si>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</si>
  <si>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</si>
  <si>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</si>
  <si>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</si>
  <si>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</si>
  <si>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</si>
  <si>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</si>
  <si>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</si>
  <si>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</si>
  <si>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</si>
  <si>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</si>
  <si>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</si>
  <si>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</si>
  <si>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</si>
  <si>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</si>
  <si>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</si>
  <si>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</si>
  <si>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</si>
  <si>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</si>
  <si>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</si>
  <si>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</si>
  <si>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</si>
  <si>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</si>
  <si>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</si>
  <si>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</si>
  <si>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</si>
  <si>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</si>
  <si>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</si>
  <si>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</si>
  <si>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</si>
  <si>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</si>
  <si>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</si>
  <si>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</si>
  <si>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</si>
  <si>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</si>
  <si>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</si>
  <si>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</si>
  <si>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</si>
  <si>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</si>
  <si>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</si>
  <si>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</si>
  <si>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</si>
  <si>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</si>
  <si>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</si>
  <si>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</si>
  <si>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</si>
  <si>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</si>
  <si>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</si>
  <si>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</si>
  <si>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</si>
  <si>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</si>
  <si>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</si>
  <si>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</si>
  <si>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</si>
  <si>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</si>
  <si>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</si>
  <si>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</si>
  <si>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</si>
  <si>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</si>
  <si>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</si>
  <si>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</si>
  <si>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</si>
  <si>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</si>
  <si>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</si>
  <si>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</si>
  <si>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</si>
  <si>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</si>
  <si>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</si>
  <si>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</si>
  <si>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</si>
  <si>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</si>
  <si>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</si>
  <si>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</si>
  <si>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</si>
  <si>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</si>
  <si>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</si>
  <si>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</si>
  <si>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</si>
  <si>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</si>
  <si>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</si>
  <si>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</si>
  <si>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</si>
  <si>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</si>
  <si>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</si>
  <si>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</si>
  <si>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</si>
  <si>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</si>
  <si>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</si>
  <si>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</si>
  <si>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</si>
  <si>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</si>
  <si>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</si>
  <si>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</si>
  <si>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</si>
  <si>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</si>
  <si>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</si>
  <si>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</si>
  <si>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</si>
  <si>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</si>
  <si>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</si>
  <si>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</si>
  <si>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</si>
  <si>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</si>
  <si>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</si>
  <si>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</si>
  <si>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</si>
  <si>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</si>
  <si>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</si>
  <si>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</si>
  <si>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</si>
  <si>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</si>
  <si>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</si>
  <si>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</si>
  <si>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</si>
  <si>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</si>
  <si>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</si>
  <si>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</si>
  <si>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</si>
  <si>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</si>
  <si>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</si>
  <si>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</si>
  <si>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</si>
  <si>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</si>
  <si>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</si>
  <si>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</si>
  <si>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</si>
  <si>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</si>
  <si>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</si>
  <si>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</si>
  <si>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</si>
  <si>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</si>
  <si>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</si>
  <si>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</si>
  <si>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</si>
  <si>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</si>
  <si>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</si>
  <si>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</si>
  <si>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</si>
  <si>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</si>
  <si>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</si>
  <si>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</si>
  <si>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</si>
  <si>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</si>
  <si>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</si>
  <si>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</si>
  <si>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</si>
  <si>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</si>
  <si>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</si>
  <si>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</si>
  <si>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</si>
  <si>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</si>
  <si>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</si>
  <si>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</si>
  <si>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</si>
  <si>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</si>
  <si>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</si>
  <si>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</si>
  <si>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</si>
  <si>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</si>
  <si>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</si>
  <si>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</si>
  <si>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</si>
  <si>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</si>
  <si>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</si>
  <si>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</si>
  <si>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</si>
  <si>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</si>
  <si>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</si>
  <si>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</si>
  <si>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</si>
  <si>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</si>
  <si>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</si>
  <si>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</si>
  <si>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</si>
  <si>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</si>
  <si>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</si>
  <si>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</si>
  <si>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</si>
  <si>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</si>
  <si>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</si>
  <si>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</si>
  <si>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</si>
  <si>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</si>
  <si>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</si>
  <si>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</si>
  <si>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</si>
  <si>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</si>
  <si>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</si>
  <si>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</si>
  <si>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</si>
  <si>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</si>
  <si>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</si>
  <si>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</si>
  <si>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</si>
  <si>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</si>
  <si>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</si>
  <si>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</si>
  <si>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</si>
  <si>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</si>
  <si>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</si>
  <si>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</si>
  <si>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</si>
  <si>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</si>
  <si>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</si>
  <si>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</si>
  <si>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</si>
  <si>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</si>
  <si>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</si>
  <si>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</si>
  <si>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</si>
  <si>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</si>
  <si>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</si>
  <si>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</si>
  <si>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</si>
  <si>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</si>
  <si>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</si>
  <si>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</si>
  <si>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</si>
  <si>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</si>
  <si>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</si>
  <si>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</si>
  <si>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</si>
  <si>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</si>
  <si>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</si>
  <si>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</si>
  <si>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</si>
  <si>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</si>
  <si>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</si>
  <si>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</si>
  <si>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</si>
  <si>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</si>
  <si>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</si>
  <si>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</si>
  <si>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</si>
  <si>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</si>
  <si>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</si>
  <si>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</si>
  <si>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</si>
  <si>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</si>
  <si>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</si>
  <si>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</si>
  <si>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</si>
  <si>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</si>
  <si>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</si>
  <si>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</si>
  <si>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</si>
  <si>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</si>
  <si>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</si>
  <si>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</si>
  <si>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</si>
  <si>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</si>
  <si>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</si>
  <si>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</si>
  <si>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</si>
  <si>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</si>
  <si>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</si>
  <si>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</si>
  <si>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</si>
  <si>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</si>
  <si>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</si>
  <si>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</si>
  <si>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</si>
  <si>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</si>
  <si>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</si>
  <si>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</si>
  <si>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</si>
  <si>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</si>
  <si>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</si>
  <si>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</si>
  <si>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</si>
  <si>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</si>
  <si>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</si>
  <si>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</si>
  <si>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</si>
  <si>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</si>
  <si>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</si>
  <si>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</si>
  <si>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</si>
  <si>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</si>
  <si>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</si>
  <si>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</si>
  <si>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</si>
  <si>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</si>
  <si>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</si>
  <si>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</si>
  <si>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</si>
  <si>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</si>
  <si>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</si>
  <si>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</si>
  <si>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</si>
  <si>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</si>
  <si>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</si>
  <si>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</si>
  <si>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</si>
  <si>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</si>
  <si>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</si>
  <si>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</si>
  <si>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</si>
  <si>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</si>
  <si>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</si>
  <si>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</si>
  <si>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</si>
  <si>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</si>
  <si>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</si>
  <si>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</si>
  <si>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</si>
  <si>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</si>
  <si>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</si>
  <si>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</si>
  <si>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</si>
  <si>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</si>
  <si>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</si>
  <si>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</si>
  <si>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</si>
  <si>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</si>
  <si>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</si>
  <si>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</si>
  <si>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</si>
  <si>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</si>
  <si>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</si>
  <si>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</si>
  <si>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</si>
  <si>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</si>
  <si>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</si>
  <si>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</si>
  <si>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</si>
  <si>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</si>
  <si>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</si>
  <si>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</si>
  <si>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</si>
  <si>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</si>
  <si>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</si>
  <si>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</si>
  <si>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</si>
  <si>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</si>
  <si>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</si>
  <si>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</si>
  <si>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</si>
  <si>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</si>
  <si>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</si>
  <si>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</si>
  <si>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</si>
  <si>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</si>
  <si>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</si>
  <si>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</si>
  <si>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</si>
  <si>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</si>
  <si>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</si>
  <si>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</si>
  <si>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</si>
  <si>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</si>
  <si>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</si>
  <si>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</si>
  <si>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</si>
  <si>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</si>
  <si>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</si>
  <si>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</si>
  <si>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</si>
  <si>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</si>
  <si>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</si>
  <si>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</si>
  <si>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</si>
  <si>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</si>
  <si>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</si>
  <si>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</si>
  <si>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</si>
  <si>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</si>
  <si>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</si>
  <si>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</si>
  <si>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</si>
  <si>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</si>
  <si>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</si>
  <si>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</si>
  <si>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</si>
  <si>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</si>
  <si>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</si>
  <si>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</si>
  <si>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</si>
  <si>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</si>
  <si>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</si>
  <si>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</si>
  <si>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</si>
  <si>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</si>
  <si>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</si>
  <si>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</si>
  <si>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</si>
  <si>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</si>
  <si>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</si>
  <si>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</si>
  <si>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</si>
  <si>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</si>
  <si>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</si>
  <si>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</si>
  <si>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</si>
  <si>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</si>
  <si>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</si>
  <si>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</si>
  <si>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</si>
  <si>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</si>
  <si>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</si>
  <si>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</si>
  <si>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</si>
  <si>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</si>
  <si>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</si>
  <si>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</si>
  <si>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</si>
  <si>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</si>
  <si>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</si>
  <si>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</si>
  <si>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</si>
  <si>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</si>
  <si>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</si>
  <si>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</si>
  <si>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</si>
  <si>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</si>
  <si>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</si>
  <si>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</si>
  <si>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</si>
  <si>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</si>
  <si>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</si>
  <si>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</si>
  <si>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</si>
  <si>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</si>
  <si>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</si>
  <si>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</si>
  <si>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</si>
  <si>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</si>
  <si>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</si>
  <si>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</si>
  <si>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</si>
  <si>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</si>
  <si>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</si>
  <si>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</si>
  <si>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</si>
  <si>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</si>
  <si>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</si>
  <si>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</si>
  <si>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</si>
  <si>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</si>
  <si>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</si>
  <si>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</si>
  <si>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</si>
  <si>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</si>
  <si>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</si>
  <si>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</si>
  <si>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</si>
  <si>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</si>
  <si>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</si>
  <si>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</si>
  <si>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</si>
  <si>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</si>
  <si>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</si>
  <si>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</si>
  <si>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</si>
  <si>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</si>
  <si>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</si>
  <si>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</si>
  <si>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</si>
  <si>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</si>
  <si>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</si>
  <si>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</si>
  <si>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</si>
  <si>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</si>
  <si>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</si>
  <si>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</si>
  <si>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</si>
  <si>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</si>
  <si>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</si>
  <si>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</si>
  <si>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</si>
  <si>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</si>
  <si>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</si>
  <si>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</si>
  <si>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</si>
  <si>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</si>
  <si>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</si>
  <si>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</si>
  <si>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</si>
  <si>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</si>
  <si>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</si>
  <si>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</si>
  <si>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</si>
  <si>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</si>
  <si>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</si>
  <si>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</si>
  <si>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</si>
  <si>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</si>
  <si>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</si>
  <si>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</si>
  <si>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</si>
  <si>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</si>
  <si>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</si>
  <si>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</si>
  <si>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</si>
  <si>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</si>
  <si>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</si>
  <si>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</si>
  <si>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</si>
  <si>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</si>
  <si>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</si>
  <si>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</si>
  <si>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</si>
  <si>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</si>
  <si>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</si>
  <si>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</si>
  <si>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</si>
  <si>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</si>
  <si>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</si>
  <si>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</si>
  <si>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</si>
  <si>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</si>
  <si>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</si>
  <si>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</si>
  <si>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</si>
  <si>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</si>
  <si>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</si>
  <si>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</si>
  <si>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</si>
  <si>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</si>
  <si>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</si>
  <si>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</si>
  <si>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</si>
  <si>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</si>
  <si>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</si>
  <si>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</si>
  <si>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</si>
  <si>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</si>
  <si>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</si>
  <si>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</si>
  <si>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</si>
  <si>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</si>
  <si>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</si>
  <si>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</si>
  <si>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</si>
  <si>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</si>
  <si>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</si>
  <si>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</si>
  <si>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</si>
  <si>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</si>
  <si>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</si>
  <si>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</si>
  <si>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</si>
  <si>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</si>
  <si>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</si>
  <si>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Colebrook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</si>
</sst>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Users\Ronald.M.Leclerc\Documents\data\DOE-25%20fixes\colebrook.xlsx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105</v>
      </c>
      <c r="C2" s="21">
        <v>105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561183.88</v>
      </c>
      <c r="G9" s="18">
        <v>10865.67</v>
      </c>
      <c r="H9" s="18"/>
      <c r="I9" s="18"/>
      <c r="J9" s="67">
        <f>SUM(I439)</f>
        <v>528807.87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87899.34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32110.240000000002</v>
      </c>
      <c r="G13" s="18">
        <v>4165.6400000000003</v>
      </c>
      <c r="H13" s="18">
        <v>90284.700000000012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20009.939999999999</v>
      </c>
      <c r="G14" s="18">
        <v>468.72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3104.53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701203.39999999991</v>
      </c>
      <c r="G19" s="41">
        <f>SUM(G9:G18)</f>
        <v>18604.560000000001</v>
      </c>
      <c r="H19" s="41">
        <f>SUM(H9:H18)</f>
        <v>90284.700000000012</v>
      </c>
      <c r="I19" s="41">
        <f>SUM(I9:I18)</f>
        <v>0</v>
      </c>
      <c r="J19" s="41">
        <f>SUM(J9:J18)</f>
        <v>528807.87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87899.340000000011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32847.269999999997</v>
      </c>
      <c r="G24" s="18">
        <v>9425.93</v>
      </c>
      <c r="H24" s="18">
        <v>976.78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13388.72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15084.82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46861.47</v>
      </c>
      <c r="G30" s="18"/>
      <c r="H30" s="18">
        <v>1408.5800000000002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108182.28</v>
      </c>
      <c r="G32" s="41">
        <f>SUM(G22:G31)</f>
        <v>9425.93</v>
      </c>
      <c r="H32" s="41">
        <f>SUM(H22:H31)</f>
        <v>90284.700000000012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3104.53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6074.0999999999767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528807.87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10300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582721.12000000011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593021.12000000011</v>
      </c>
      <c r="G51" s="41">
        <f>SUM(G35:G50)</f>
        <v>9178.6299999999774</v>
      </c>
      <c r="H51" s="41">
        <f>SUM(H35:H50)</f>
        <v>0</v>
      </c>
      <c r="I51" s="41">
        <f>SUM(I35:I50)</f>
        <v>0</v>
      </c>
      <c r="J51" s="41">
        <f>SUM(J35:J50)</f>
        <v>528807.87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701203.40000000014</v>
      </c>
      <c r="G52" s="41">
        <f>G51+G32</f>
        <v>18604.559999999976</v>
      </c>
      <c r="H52" s="41">
        <f>H51+H32</f>
        <v>90284.700000000012</v>
      </c>
      <c r="I52" s="41">
        <f>I51+I32</f>
        <v>0</v>
      </c>
      <c r="J52" s="41">
        <f>J51+J32</f>
        <v>528807.87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2014081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2014081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22950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1369932.35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210440.23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1603322.58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64.09</v>
      </c>
      <c r="G96" s="18"/>
      <c r="H96" s="18"/>
      <c r="I96" s="18"/>
      <c r="J96" s="18">
        <v>9203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76375.42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18195.599999999999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129253.17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2772.21</v>
      </c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79301.509999999995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12280.75</v>
      </c>
      <c r="G110" s="18"/>
      <c r="H110" s="18">
        <v>68095.499999999985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241867.32999999996</v>
      </c>
      <c r="G111" s="41">
        <f>SUM(G96:G110)</f>
        <v>76375.42</v>
      </c>
      <c r="H111" s="41">
        <f>SUM(H96:H110)</f>
        <v>68095.499999999985</v>
      </c>
      <c r="I111" s="41">
        <f>SUM(I96:I110)</f>
        <v>0</v>
      </c>
      <c r="J111" s="41">
        <f>SUM(J96:J110)</f>
        <v>9203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3859270.91</v>
      </c>
      <c r="G112" s="41">
        <f>G60+G111</f>
        <v>76375.42</v>
      </c>
      <c r="H112" s="41">
        <f>H60+H79+H94+H111</f>
        <v>68095.499999999985</v>
      </c>
      <c r="I112" s="41">
        <f>I60+I111</f>
        <v>0</v>
      </c>
      <c r="J112" s="41">
        <f>J60+J111</f>
        <v>9203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1951603.29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355337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2306940.29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158313.70000000001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5774.4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637.20000000000005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2738.22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164725.30000000002</v>
      </c>
      <c r="G136" s="41">
        <f>SUM(G123:G135)</f>
        <v>2738.22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2471665.59</v>
      </c>
      <c r="G140" s="41">
        <f>G121+SUM(G136:G137)</f>
        <v>2738.22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>
        <v>5163.3500000000004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5163.3500000000004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>
        <v>69076.649999999994</v>
      </c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178241.35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31692.34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88904.79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9070.58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15115.68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9070.58</v>
      </c>
      <c r="G162" s="41">
        <f>SUM(G150:G161)</f>
        <v>88904.79</v>
      </c>
      <c r="H162" s="41">
        <f>SUM(H150:H161)</f>
        <v>294126.02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9070.58</v>
      </c>
      <c r="G169" s="41">
        <f>G147+G162+SUM(G163:G168)</f>
        <v>88904.79</v>
      </c>
      <c r="H169" s="41">
        <f>H147+H162+SUM(H163:H168)</f>
        <v>299289.37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18000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18000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18000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6340007.0800000001</v>
      </c>
      <c r="G193" s="47">
        <f>G112+G140+G169+G192</f>
        <v>186018.43</v>
      </c>
      <c r="H193" s="47">
        <f>H112+H140+H169+H192</f>
        <v>367384.87</v>
      </c>
      <c r="I193" s="47">
        <f>I112+I140+I169+I192</f>
        <v>0</v>
      </c>
      <c r="J193" s="47">
        <f>J112+J140+J192</f>
        <v>9203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831730.53</v>
      </c>
      <c r="G197" s="18">
        <v>424890.55</v>
      </c>
      <c r="H197" s="18">
        <v>15781.619999999999</v>
      </c>
      <c r="I197" s="18">
        <v>28128.09</v>
      </c>
      <c r="J197" s="18">
        <v>2166.12</v>
      </c>
      <c r="K197" s="18">
        <v>140</v>
      </c>
      <c r="L197" s="19">
        <f>SUM(F197:K197)</f>
        <v>1302836.9100000004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308048.75</v>
      </c>
      <c r="G198" s="18">
        <v>88142.89</v>
      </c>
      <c r="H198" s="18">
        <v>12519.349999999999</v>
      </c>
      <c r="I198" s="18">
        <v>471.07</v>
      </c>
      <c r="J198" s="18">
        <v>164.54</v>
      </c>
      <c r="K198" s="18"/>
      <c r="L198" s="19">
        <f>SUM(F198:K198)</f>
        <v>409346.6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16005.5</v>
      </c>
      <c r="G200" s="18">
        <v>1923.63</v>
      </c>
      <c r="H200" s="18">
        <v>120</v>
      </c>
      <c r="I200" s="18">
        <v>106.63</v>
      </c>
      <c r="J200" s="18">
        <v>0</v>
      </c>
      <c r="K200" s="18">
        <v>180</v>
      </c>
      <c r="L200" s="19">
        <f>SUM(F200:K200)</f>
        <v>18335.760000000002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189192.63</v>
      </c>
      <c r="G202" s="18">
        <v>53659.38</v>
      </c>
      <c r="H202" s="18">
        <v>124033.35</v>
      </c>
      <c r="I202" s="18">
        <v>8008.37</v>
      </c>
      <c r="J202" s="18">
        <v>41134.720000000001</v>
      </c>
      <c r="K202" s="18">
        <v>3623.15</v>
      </c>
      <c r="L202" s="19">
        <f t="shared" ref="L202:L208" si="0">SUM(F202:K202)</f>
        <v>419651.6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37463</v>
      </c>
      <c r="G203" s="18">
        <v>11300.32</v>
      </c>
      <c r="H203" s="18">
        <v>219.24</v>
      </c>
      <c r="I203" s="18">
        <v>2744.95</v>
      </c>
      <c r="J203" s="18"/>
      <c r="K203" s="18">
        <v>4188</v>
      </c>
      <c r="L203" s="19">
        <f t="shared" si="0"/>
        <v>55915.509999999995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5110</v>
      </c>
      <c r="G204" s="18">
        <v>390.92</v>
      </c>
      <c r="H204" s="18">
        <v>236177.38</v>
      </c>
      <c r="I204" s="18">
        <v>612.96</v>
      </c>
      <c r="J204" s="18">
        <v>4379.1899999999996</v>
      </c>
      <c r="K204" s="18"/>
      <c r="L204" s="19">
        <f t="shared" si="0"/>
        <v>246670.45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128860.54</v>
      </c>
      <c r="G205" s="18">
        <v>62559.13</v>
      </c>
      <c r="H205" s="18">
        <v>8505.06</v>
      </c>
      <c r="I205" s="18">
        <v>3602.82</v>
      </c>
      <c r="J205" s="18">
        <v>0</v>
      </c>
      <c r="K205" s="18">
        <v>1039</v>
      </c>
      <c r="L205" s="19">
        <f t="shared" si="0"/>
        <v>204566.55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95801.72</v>
      </c>
      <c r="G207" s="18">
        <v>62078.73</v>
      </c>
      <c r="H207" s="18">
        <v>110607.95999999999</v>
      </c>
      <c r="I207" s="18">
        <v>199210.71</v>
      </c>
      <c r="J207" s="18">
        <v>14035.3</v>
      </c>
      <c r="K207" s="18">
        <v>448.48</v>
      </c>
      <c r="L207" s="19">
        <f t="shared" si="0"/>
        <v>482182.89999999997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9426.8700000000008</v>
      </c>
      <c r="G208" s="18">
        <v>850.98</v>
      </c>
      <c r="H208" s="18">
        <v>130557.62</v>
      </c>
      <c r="I208" s="18">
        <v>3506.09</v>
      </c>
      <c r="J208" s="18"/>
      <c r="K208" s="18">
        <v>299.25</v>
      </c>
      <c r="L208" s="19">
        <f t="shared" si="0"/>
        <v>144640.81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1621639.5400000003</v>
      </c>
      <c r="G211" s="41">
        <f t="shared" si="1"/>
        <v>705796.52999999991</v>
      </c>
      <c r="H211" s="41">
        <f t="shared" si="1"/>
        <v>638521.57999999996</v>
      </c>
      <c r="I211" s="41">
        <f t="shared" si="1"/>
        <v>246391.68999999997</v>
      </c>
      <c r="J211" s="41">
        <f t="shared" si="1"/>
        <v>61879.87000000001</v>
      </c>
      <c r="K211" s="41">
        <f t="shared" si="1"/>
        <v>9917.8799999999992</v>
      </c>
      <c r="L211" s="41">
        <f t="shared" si="1"/>
        <v>3284147.09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667806.48</v>
      </c>
      <c r="G233" s="18">
        <v>371135.14</v>
      </c>
      <c r="H233" s="18">
        <v>32446.54</v>
      </c>
      <c r="I233" s="18">
        <v>26527.65</v>
      </c>
      <c r="J233" s="18">
        <v>1533.68</v>
      </c>
      <c r="K233" s="18">
        <v>272.58</v>
      </c>
      <c r="L233" s="19">
        <f>SUM(F233:K233)</f>
        <v>1099722.0699999998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146694.60999999999</v>
      </c>
      <c r="G234" s="18">
        <v>64144.23</v>
      </c>
      <c r="H234" s="18">
        <v>65958.600000000006</v>
      </c>
      <c r="I234" s="18"/>
      <c r="J234" s="18"/>
      <c r="K234" s="18"/>
      <c r="L234" s="19">
        <f>SUM(F234:K234)</f>
        <v>276797.44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62788.45</v>
      </c>
      <c r="G236" s="18">
        <v>8940.66</v>
      </c>
      <c r="H236" s="18">
        <v>13490</v>
      </c>
      <c r="I236" s="18">
        <v>5567.44</v>
      </c>
      <c r="J236" s="18">
        <v>2017.95</v>
      </c>
      <c r="K236" s="18">
        <v>9300.19</v>
      </c>
      <c r="L236" s="19">
        <f>SUM(F236:K236)</f>
        <v>102104.69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101680.76</v>
      </c>
      <c r="G238" s="18">
        <v>45129.77</v>
      </c>
      <c r="H238" s="18">
        <v>37289.06</v>
      </c>
      <c r="I238" s="18">
        <v>3253.6</v>
      </c>
      <c r="J238" s="18">
        <v>18903.240000000002</v>
      </c>
      <c r="K238" s="18">
        <v>1850.5</v>
      </c>
      <c r="L238" s="19">
        <f t="shared" ref="L238:L244" si="4">SUM(F238:K238)</f>
        <v>208106.93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30479.68</v>
      </c>
      <c r="G239" s="18">
        <v>11793.98</v>
      </c>
      <c r="H239" s="18">
        <v>777.55</v>
      </c>
      <c r="I239" s="18">
        <v>2686.48</v>
      </c>
      <c r="J239" s="18"/>
      <c r="K239" s="18">
        <v>3642</v>
      </c>
      <c r="L239" s="19">
        <f t="shared" si="4"/>
        <v>49379.69000000001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2190</v>
      </c>
      <c r="G240" s="18">
        <v>167.53</v>
      </c>
      <c r="H240" s="18">
        <v>100172.09</v>
      </c>
      <c r="I240" s="18">
        <v>626.58000000000004</v>
      </c>
      <c r="J240" s="18"/>
      <c r="K240" s="18">
        <v>1715.71</v>
      </c>
      <c r="L240" s="19">
        <f t="shared" si="4"/>
        <v>104871.91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121228.15</v>
      </c>
      <c r="G241" s="18">
        <v>48055.21</v>
      </c>
      <c r="H241" s="18">
        <v>9730.9500000000007</v>
      </c>
      <c r="I241" s="18">
        <v>5396.86</v>
      </c>
      <c r="J241" s="18">
        <v>419.94</v>
      </c>
      <c r="K241" s="18">
        <v>1433</v>
      </c>
      <c r="L241" s="19">
        <f t="shared" si="4"/>
        <v>186264.11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72452.94</v>
      </c>
      <c r="G243" s="18">
        <v>24523.7</v>
      </c>
      <c r="H243" s="18">
        <v>52203.23</v>
      </c>
      <c r="I243" s="18">
        <v>86851.69</v>
      </c>
      <c r="J243" s="18">
        <v>4904.8999999999996</v>
      </c>
      <c r="K243" s="18">
        <v>457.78</v>
      </c>
      <c r="L243" s="19">
        <f t="shared" si="4"/>
        <v>241394.24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391.49</v>
      </c>
      <c r="G244" s="18">
        <v>29.95</v>
      </c>
      <c r="H244" s="18">
        <v>92203</v>
      </c>
      <c r="I244" s="18">
        <v>43</v>
      </c>
      <c r="J244" s="18"/>
      <c r="K244" s="18"/>
      <c r="L244" s="19">
        <f t="shared" si="4"/>
        <v>92667.44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1205712.5599999998</v>
      </c>
      <c r="G247" s="41">
        <f t="shared" si="5"/>
        <v>573920.16999999993</v>
      </c>
      <c r="H247" s="41">
        <f t="shared" si="5"/>
        <v>404271.02</v>
      </c>
      <c r="I247" s="41">
        <f t="shared" si="5"/>
        <v>130953.30000000002</v>
      </c>
      <c r="J247" s="41">
        <f t="shared" si="5"/>
        <v>27779.71</v>
      </c>
      <c r="K247" s="41">
        <f t="shared" si="5"/>
        <v>18671.759999999998</v>
      </c>
      <c r="L247" s="41">
        <f t="shared" si="5"/>
        <v>2361308.5199999991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2827352.1</v>
      </c>
      <c r="G257" s="41">
        <f t="shared" si="8"/>
        <v>1279716.6999999997</v>
      </c>
      <c r="H257" s="41">
        <f t="shared" si="8"/>
        <v>1042792.6</v>
      </c>
      <c r="I257" s="41">
        <f t="shared" si="8"/>
        <v>377344.99</v>
      </c>
      <c r="J257" s="41">
        <f t="shared" si="8"/>
        <v>89659.580000000016</v>
      </c>
      <c r="K257" s="41">
        <f t="shared" si="8"/>
        <v>28589.64</v>
      </c>
      <c r="L257" s="41">
        <f t="shared" si="8"/>
        <v>5645455.6099999994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390000</v>
      </c>
      <c r="L260" s="19">
        <f>SUM(F260:K260)</f>
        <v>390000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45045</v>
      </c>
      <c r="L261" s="19">
        <f>SUM(F261:K261)</f>
        <v>45045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18000</v>
      </c>
      <c r="L263" s="19">
        <f>SUM(F263:K263)</f>
        <v>18000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23036</v>
      </c>
      <c r="L268" s="19">
        <f t="shared" si="9"/>
        <v>23036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476081</v>
      </c>
      <c r="L270" s="41">
        <f t="shared" si="9"/>
        <v>476081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2827352.1</v>
      </c>
      <c r="G271" s="42">
        <f t="shared" si="11"/>
        <v>1279716.6999999997</v>
      </c>
      <c r="H271" s="42">
        <f t="shared" si="11"/>
        <v>1042792.6</v>
      </c>
      <c r="I271" s="42">
        <f t="shared" si="11"/>
        <v>377344.99</v>
      </c>
      <c r="J271" s="42">
        <f t="shared" si="11"/>
        <v>89659.580000000016</v>
      </c>
      <c r="K271" s="42">
        <f t="shared" si="11"/>
        <v>504670.64</v>
      </c>
      <c r="L271" s="42">
        <f t="shared" si="11"/>
        <v>6121536.6099999994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45">
        <v>112674.59</v>
      </c>
      <c r="G276" s="18">
        <v>44667.96</v>
      </c>
      <c r="H276" s="18">
        <v>3344.14</v>
      </c>
      <c r="I276" s="18">
        <v>3582.84</v>
      </c>
      <c r="J276" s="18">
        <v>0</v>
      </c>
      <c r="K276" s="18">
        <v>0</v>
      </c>
      <c r="L276" s="19">
        <f>SUM(F276:K276)</f>
        <v>164269.53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35666.53</v>
      </c>
      <c r="G277" s="18">
        <v>15964.48</v>
      </c>
      <c r="H277" s="18">
        <v>0</v>
      </c>
      <c r="I277" s="18">
        <v>33.770000000000003</v>
      </c>
      <c r="J277" s="18">
        <v>7536.79</v>
      </c>
      <c r="K277" s="18">
        <v>0</v>
      </c>
      <c r="L277" s="19">
        <f>SUM(F277:K277)</f>
        <v>59201.569999999992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>
        <v>0</v>
      </c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3932.03</v>
      </c>
      <c r="G279" s="18">
        <v>745.08</v>
      </c>
      <c r="H279" s="18">
        <v>0</v>
      </c>
      <c r="I279" s="18">
        <v>0</v>
      </c>
      <c r="J279" s="18">
        <v>0</v>
      </c>
      <c r="K279" s="18">
        <v>78</v>
      </c>
      <c r="L279" s="19">
        <f>SUM(F279:K279)</f>
        <v>4755.1100000000006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7322.32</v>
      </c>
      <c r="G281" s="18">
        <v>560.16</v>
      </c>
      <c r="H281" s="18">
        <v>15115.68</v>
      </c>
      <c r="I281" s="18">
        <v>5069.2700000000004</v>
      </c>
      <c r="J281" s="18">
        <v>0</v>
      </c>
      <c r="K281" s="18">
        <v>0</v>
      </c>
      <c r="L281" s="19">
        <f t="shared" ref="L281:L287" si="12">SUM(F281:K281)</f>
        <v>28067.43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2414</v>
      </c>
      <c r="G282" s="18">
        <v>525.21</v>
      </c>
      <c r="H282" s="18">
        <v>17881.34</v>
      </c>
      <c r="I282" s="18">
        <v>1512.01</v>
      </c>
      <c r="J282" s="18">
        <v>5163.3500000000004</v>
      </c>
      <c r="K282" s="18">
        <v>4829</v>
      </c>
      <c r="L282" s="19">
        <f t="shared" si="12"/>
        <v>32324.909999999996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3150</v>
      </c>
      <c r="G283" s="18">
        <v>682.81</v>
      </c>
      <c r="H283" s="18">
        <v>184</v>
      </c>
      <c r="I283" s="18">
        <v>0</v>
      </c>
      <c r="J283" s="18"/>
      <c r="K283" s="18">
        <v>0</v>
      </c>
      <c r="L283" s="19">
        <f t="shared" si="12"/>
        <v>4016.81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/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/>
      <c r="K285" s="18">
        <v>3000</v>
      </c>
      <c r="L285" s="19">
        <f t="shared" si="12"/>
        <v>3000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471</v>
      </c>
      <c r="I287" s="18">
        <v>0</v>
      </c>
      <c r="J287" s="18"/>
      <c r="K287" s="18">
        <v>0</v>
      </c>
      <c r="L287" s="19">
        <f t="shared" si="12"/>
        <v>471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165159.47</v>
      </c>
      <c r="G290" s="42">
        <f t="shared" si="13"/>
        <v>63145.700000000004</v>
      </c>
      <c r="H290" s="42">
        <f t="shared" si="13"/>
        <v>36996.160000000003</v>
      </c>
      <c r="I290" s="42">
        <f t="shared" si="13"/>
        <v>10197.890000000001</v>
      </c>
      <c r="J290" s="42">
        <f t="shared" si="13"/>
        <v>12700.14</v>
      </c>
      <c r="K290" s="42">
        <f t="shared" si="13"/>
        <v>7907</v>
      </c>
      <c r="L290" s="41">
        <f t="shared" si="13"/>
        <v>296106.35999999993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20206.509999999998</v>
      </c>
      <c r="G314" s="18">
        <v>4375.45</v>
      </c>
      <c r="H314" s="18">
        <v>5905.34</v>
      </c>
      <c r="I314" s="18">
        <v>1346.78</v>
      </c>
      <c r="J314" s="18">
        <v>28444.959999999999</v>
      </c>
      <c r="K314" s="18"/>
      <c r="L314" s="19">
        <f>SUM(F314:K314)</f>
        <v>60279.039999999994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>
        <v>49.22</v>
      </c>
      <c r="J317" s="18">
        <v>1515.78</v>
      </c>
      <c r="K317" s="18">
        <v>300</v>
      </c>
      <c r="L317" s="19">
        <f>SUM(F317:K317)</f>
        <v>1865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>
        <v>727.62</v>
      </c>
      <c r="J319" s="18"/>
      <c r="K319" s="18">
        <v>468.13</v>
      </c>
      <c r="L319" s="19">
        <f t="shared" ref="L319:L325" si="16">SUM(F319:K319)</f>
        <v>1195.75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1300.5</v>
      </c>
      <c r="G320" s="18">
        <v>282.32</v>
      </c>
      <c r="H320" s="18">
        <v>4435.8999999999996</v>
      </c>
      <c r="I320" s="18"/>
      <c r="J320" s="18"/>
      <c r="K320" s="18">
        <v>1920</v>
      </c>
      <c r="L320" s="19">
        <f t="shared" si="16"/>
        <v>7938.7199999999993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21507.01</v>
      </c>
      <c r="G328" s="42">
        <f t="shared" si="17"/>
        <v>4657.7699999999995</v>
      </c>
      <c r="H328" s="42">
        <f t="shared" si="17"/>
        <v>10341.24</v>
      </c>
      <c r="I328" s="42">
        <f t="shared" si="17"/>
        <v>2123.62</v>
      </c>
      <c r="J328" s="42">
        <f t="shared" si="17"/>
        <v>29960.739999999998</v>
      </c>
      <c r="K328" s="42">
        <f t="shared" si="17"/>
        <v>2688.13</v>
      </c>
      <c r="L328" s="41">
        <f t="shared" si="17"/>
        <v>71278.509999999995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186666.48</v>
      </c>
      <c r="G338" s="41">
        <f t="shared" si="20"/>
        <v>67803.47</v>
      </c>
      <c r="H338" s="41">
        <f t="shared" si="20"/>
        <v>47337.4</v>
      </c>
      <c r="I338" s="41">
        <f t="shared" si="20"/>
        <v>12321.510000000002</v>
      </c>
      <c r="J338" s="41">
        <f t="shared" si="20"/>
        <v>42660.88</v>
      </c>
      <c r="K338" s="41">
        <f t="shared" si="20"/>
        <v>10595.130000000001</v>
      </c>
      <c r="L338" s="41">
        <f t="shared" si="20"/>
        <v>367384.86999999994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186666.48</v>
      </c>
      <c r="G352" s="41">
        <f>G338</f>
        <v>67803.47</v>
      </c>
      <c r="H352" s="41">
        <f>H338</f>
        <v>47337.4</v>
      </c>
      <c r="I352" s="41">
        <f>I338</f>
        <v>12321.510000000002</v>
      </c>
      <c r="J352" s="41">
        <f>J338</f>
        <v>42660.88</v>
      </c>
      <c r="K352" s="47">
        <f>K338+K351</f>
        <v>10595.130000000001</v>
      </c>
      <c r="L352" s="41">
        <f>L338+L351</f>
        <v>367384.86999999994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126707.09</v>
      </c>
      <c r="I358" s="18">
        <v>1778.63</v>
      </c>
      <c r="J358" s="18"/>
      <c r="K358" s="18"/>
      <c r="L358" s="13">
        <f>SUM(F358:K358)</f>
        <v>128485.72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53958</v>
      </c>
      <c r="I360" s="18">
        <v>690.44</v>
      </c>
      <c r="J360" s="18"/>
      <c r="K360" s="18"/>
      <c r="L360" s="19">
        <f>SUM(F360:K360)</f>
        <v>54648.44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180665.09</v>
      </c>
      <c r="I362" s="47">
        <f t="shared" si="22"/>
        <v>2469.0700000000002</v>
      </c>
      <c r="J362" s="47">
        <f t="shared" si="22"/>
        <v>0</v>
      </c>
      <c r="K362" s="47">
        <f t="shared" si="22"/>
        <v>0</v>
      </c>
      <c r="L362" s="47">
        <f t="shared" si="22"/>
        <v>183134.16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1778.63</v>
      </c>
      <c r="G368" s="63"/>
      <c r="H368" s="63">
        <v>690.44</v>
      </c>
      <c r="I368" s="56">
        <f>SUM(F368:H368)</f>
        <v>2469.0700000000002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1778.63</v>
      </c>
      <c r="G369" s="47">
        <f>SUM(G367:G368)</f>
        <v>0</v>
      </c>
      <c r="H369" s="47">
        <f>SUM(H367:H368)</f>
        <v>690.44</v>
      </c>
      <c r="I369" s="47">
        <f>SUM(I367:I368)</f>
        <v>2469.0700000000002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506</v>
      </c>
      <c r="I396" s="18"/>
      <c r="J396" s="24" t="s">
        <v>289</v>
      </c>
      <c r="K396" s="24" t="s">
        <v>289</v>
      </c>
      <c r="L396" s="56">
        <f t="shared" si="26"/>
        <v>506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855</v>
      </c>
      <c r="I397" s="18"/>
      <c r="J397" s="24" t="s">
        <v>289</v>
      </c>
      <c r="K397" s="24" t="s">
        <v>289</v>
      </c>
      <c r="L397" s="56">
        <f t="shared" si="26"/>
        <v>855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356</v>
      </c>
      <c r="I399" s="18"/>
      <c r="J399" s="24" t="s">
        <v>289</v>
      </c>
      <c r="K399" s="24" t="s">
        <v>289</v>
      </c>
      <c r="L399" s="56">
        <f t="shared" si="26"/>
        <v>356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0</v>
      </c>
      <c r="H400" s="18">
        <v>7486</v>
      </c>
      <c r="I400" s="18"/>
      <c r="J400" s="24" t="s">
        <v>289</v>
      </c>
      <c r="K400" s="24" t="s">
        <v>289</v>
      </c>
      <c r="L400" s="56">
        <f t="shared" si="26"/>
        <v>7486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9203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9203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9203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9203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>
        <v>10000</v>
      </c>
      <c r="K425" s="18"/>
      <c r="L425" s="56">
        <f t="shared" si="29"/>
        <v>10000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10000</v>
      </c>
      <c r="K427" s="47">
        <f t="shared" si="30"/>
        <v>0</v>
      </c>
      <c r="L427" s="47">
        <f t="shared" si="30"/>
        <v>10000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10000</v>
      </c>
      <c r="K434" s="47">
        <f t="shared" si="32"/>
        <v>0</v>
      </c>
      <c r="L434" s="47">
        <f t="shared" si="32"/>
        <v>10000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503807.87</v>
      </c>
      <c r="H439" s="18">
        <v>25000</v>
      </c>
      <c r="I439" s="56">
        <f t="shared" ref="I439:I445" si="33">SUM(F439:H439)</f>
        <v>528807.87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503807.87</v>
      </c>
      <c r="H446" s="13">
        <f>SUM(H439:H445)</f>
        <v>25000</v>
      </c>
      <c r="I446" s="13">
        <f>SUM(I439:I445)</f>
        <v>528807.87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503807.87</v>
      </c>
      <c r="H459" s="18">
        <v>25000</v>
      </c>
      <c r="I459" s="56">
        <f t="shared" si="34"/>
        <v>528807.87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503807.87</v>
      </c>
      <c r="H460" s="83">
        <f>SUM(H454:H459)</f>
        <v>25000</v>
      </c>
      <c r="I460" s="83">
        <f>SUM(I454:I459)</f>
        <v>528807.87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503807.87</v>
      </c>
      <c r="H461" s="42">
        <f>H452+H460</f>
        <v>25000</v>
      </c>
      <c r="I461" s="42">
        <f>I452+I460</f>
        <v>528807.87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377686.61</v>
      </c>
      <c r="G465" s="18">
        <v>6838.27</v>
      </c>
      <c r="H465" s="18">
        <v>0</v>
      </c>
      <c r="I465" s="18"/>
      <c r="J465" s="18">
        <v>529604.87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6340007.0800000001</v>
      </c>
      <c r="G468" s="18">
        <v>186018.43</v>
      </c>
      <c r="H468" s="18">
        <v>367384.87</v>
      </c>
      <c r="I468" s="18"/>
      <c r="J468" s="18">
        <v>9203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6340007.0800000001</v>
      </c>
      <c r="G470" s="53">
        <f>SUM(G468:G469)</f>
        <v>186018.43</v>
      </c>
      <c r="H470" s="53">
        <f>SUM(H468:H469)</f>
        <v>367384.87</v>
      </c>
      <c r="I470" s="53">
        <f>SUM(I468:I469)</f>
        <v>0</v>
      </c>
      <c r="J470" s="53">
        <f>SUM(J468:J469)</f>
        <v>9203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6121536.6100000003</v>
      </c>
      <c r="G472" s="18">
        <v>183134.16</v>
      </c>
      <c r="H472" s="18">
        <v>367384.87</v>
      </c>
      <c r="I472" s="18"/>
      <c r="J472" s="18">
        <v>10000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3135.96</v>
      </c>
      <c r="G473" s="18">
        <v>543.91</v>
      </c>
      <c r="H473" s="18"/>
      <c r="I473" s="18"/>
      <c r="J473" s="18"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6124672.5700000003</v>
      </c>
      <c r="G474" s="53">
        <f>SUM(G472:G473)</f>
        <v>183678.07</v>
      </c>
      <c r="H474" s="53">
        <f>SUM(H472:H473)</f>
        <v>367384.87</v>
      </c>
      <c r="I474" s="53">
        <f>SUM(I472:I473)</f>
        <v>0</v>
      </c>
      <c r="J474" s="53">
        <f>SUM(J472:J473)</f>
        <v>10000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593021.12000000011</v>
      </c>
      <c r="G476" s="53">
        <f>(G465+G470)- G474</f>
        <v>9178.6299999999756</v>
      </c>
      <c r="H476" s="53">
        <f>(H465+H470)- H474</f>
        <v>0</v>
      </c>
      <c r="I476" s="53">
        <f>(I465+I470)- I474</f>
        <v>0</v>
      </c>
      <c r="J476" s="53">
        <f>(J465+J470)- J474</f>
        <v>528807.87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5840000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4.37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1170000</v>
      </c>
      <c r="G495" s="18"/>
      <c r="H495" s="18"/>
      <c r="I495" s="18"/>
      <c r="J495" s="18"/>
      <c r="K495" s="53">
        <f>SUM(F495:J495)</f>
        <v>1170000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390000</v>
      </c>
      <c r="G497" s="18"/>
      <c r="H497" s="18"/>
      <c r="I497" s="18"/>
      <c r="J497" s="18"/>
      <c r="K497" s="53">
        <f t="shared" si="35"/>
        <v>390000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780000</v>
      </c>
      <c r="G498" s="204"/>
      <c r="H498" s="204"/>
      <c r="I498" s="204"/>
      <c r="J498" s="204"/>
      <c r="K498" s="205">
        <f t="shared" si="35"/>
        <v>780000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36465</v>
      </c>
      <c r="G499" s="18"/>
      <c r="H499" s="18"/>
      <c r="I499" s="18"/>
      <c r="J499" s="18"/>
      <c r="K499" s="53">
        <f t="shared" si="35"/>
        <v>36465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816465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816465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390000</v>
      </c>
      <c r="G501" s="204"/>
      <c r="H501" s="204"/>
      <c r="I501" s="204"/>
      <c r="J501" s="204"/>
      <c r="K501" s="205">
        <f t="shared" si="35"/>
        <v>390000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18135</v>
      </c>
      <c r="G502" s="18"/>
      <c r="H502" s="18"/>
      <c r="I502" s="18"/>
      <c r="J502" s="18"/>
      <c r="K502" s="53">
        <f t="shared" si="35"/>
        <v>18135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408135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408135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343715.28</v>
      </c>
      <c r="G521" s="18">
        <v>103410.29</v>
      </c>
      <c r="H521" s="18">
        <v>12519.349999999999</v>
      </c>
      <c r="I521" s="18">
        <v>504.84</v>
      </c>
      <c r="J521" s="18">
        <v>7701.33</v>
      </c>
      <c r="K521" s="18"/>
      <c r="L521" s="88">
        <f>SUM(F521:K521)</f>
        <v>467851.09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146694.60999999999</v>
      </c>
      <c r="G523" s="18">
        <v>64144.23</v>
      </c>
      <c r="H523" s="18">
        <v>65958.600000000006</v>
      </c>
      <c r="I523" s="18"/>
      <c r="J523" s="18"/>
      <c r="K523" s="18"/>
      <c r="L523" s="88">
        <f>SUM(F523:K523)</f>
        <v>276797.44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490409.89</v>
      </c>
      <c r="G524" s="108">
        <f t="shared" ref="G524:L524" si="36">SUM(G521:G523)</f>
        <v>167554.51999999999</v>
      </c>
      <c r="H524" s="108">
        <f t="shared" si="36"/>
        <v>78477.950000000012</v>
      </c>
      <c r="I524" s="108">
        <f t="shared" si="36"/>
        <v>504.84</v>
      </c>
      <c r="J524" s="108">
        <f t="shared" si="36"/>
        <v>7701.33</v>
      </c>
      <c r="K524" s="108">
        <f t="shared" si="36"/>
        <v>0</v>
      </c>
      <c r="L524" s="89">
        <f t="shared" si="36"/>
        <v>744648.53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70857.919999999998</v>
      </c>
      <c r="G526" s="18">
        <v>5571.82</v>
      </c>
      <c r="H526" s="18">
        <v>64750.42</v>
      </c>
      <c r="I526" s="18">
        <v>2728.76</v>
      </c>
      <c r="J526" s="18">
        <v>1268.3699999999999</v>
      </c>
      <c r="K526" s="18">
        <v>597</v>
      </c>
      <c r="L526" s="88">
        <f>SUM(F526:K526)</f>
        <v>145774.28999999998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0</v>
      </c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220.83</v>
      </c>
      <c r="G528" s="18">
        <v>16.899999999999999</v>
      </c>
      <c r="H528" s="18">
        <v>8979.92</v>
      </c>
      <c r="I528" s="18"/>
      <c r="J528" s="18"/>
      <c r="K528" s="18"/>
      <c r="L528" s="88">
        <f>SUM(F528:K528)</f>
        <v>9217.65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71078.75</v>
      </c>
      <c r="G529" s="89">
        <f t="shared" ref="G529:L529" si="37">SUM(G526:G528)</f>
        <v>5588.7199999999993</v>
      </c>
      <c r="H529" s="89">
        <f t="shared" si="37"/>
        <v>73730.34</v>
      </c>
      <c r="I529" s="89">
        <f t="shared" si="37"/>
        <v>2728.76</v>
      </c>
      <c r="J529" s="89">
        <f t="shared" si="37"/>
        <v>1268.3699999999999</v>
      </c>
      <c r="K529" s="89">
        <f t="shared" si="37"/>
        <v>597</v>
      </c>
      <c r="L529" s="89">
        <f t="shared" si="37"/>
        <v>154991.93999999997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45634</v>
      </c>
      <c r="I531" s="18"/>
      <c r="J531" s="18"/>
      <c r="K531" s="18">
        <v>1000</v>
      </c>
      <c r="L531" s="88">
        <f>SUM(F531:K531)</f>
        <v>46634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19017.900000000001</v>
      </c>
      <c r="I533" s="18"/>
      <c r="J533" s="18"/>
      <c r="K533" s="18"/>
      <c r="L533" s="88">
        <f>SUM(F533:K533)</f>
        <v>19017.900000000001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64651.9</v>
      </c>
      <c r="I534" s="89">
        <f t="shared" si="38"/>
        <v>0</v>
      </c>
      <c r="J534" s="89">
        <f t="shared" si="38"/>
        <v>0</v>
      </c>
      <c r="K534" s="89">
        <f t="shared" si="38"/>
        <v>1000</v>
      </c>
      <c r="L534" s="89">
        <f t="shared" si="38"/>
        <v>65651.899999999994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9426.8700000000008</v>
      </c>
      <c r="G541" s="18">
        <v>850.98</v>
      </c>
      <c r="H541" s="18">
        <v>4310.3999999999996</v>
      </c>
      <c r="I541" s="18">
        <v>3506.09</v>
      </c>
      <c r="J541" s="18"/>
      <c r="K541" s="18">
        <v>299.25</v>
      </c>
      <c r="L541" s="88">
        <f>SUM(F541:K541)</f>
        <v>18393.59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9426.8700000000008</v>
      </c>
      <c r="G544" s="193">
        <f t="shared" ref="G544:L544" si="40">SUM(G541:G543)</f>
        <v>850.98</v>
      </c>
      <c r="H544" s="193">
        <f t="shared" si="40"/>
        <v>4310.3999999999996</v>
      </c>
      <c r="I544" s="193">
        <f t="shared" si="40"/>
        <v>3506.09</v>
      </c>
      <c r="J544" s="193">
        <f t="shared" si="40"/>
        <v>0</v>
      </c>
      <c r="K544" s="193">
        <f t="shared" si="40"/>
        <v>299.25</v>
      </c>
      <c r="L544" s="193">
        <f t="shared" si="40"/>
        <v>18393.59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570915.51</v>
      </c>
      <c r="G545" s="89">
        <f t="shared" ref="G545:L545" si="41">G524+G529+G534+G539+G544</f>
        <v>173994.22</v>
      </c>
      <c r="H545" s="89">
        <f t="shared" si="41"/>
        <v>221170.59</v>
      </c>
      <c r="I545" s="89">
        <f t="shared" si="41"/>
        <v>6739.6900000000005</v>
      </c>
      <c r="J545" s="89">
        <f t="shared" si="41"/>
        <v>8969.7000000000007</v>
      </c>
      <c r="K545" s="89">
        <f t="shared" si="41"/>
        <v>1896.25</v>
      </c>
      <c r="L545" s="89">
        <f t="shared" si="41"/>
        <v>983685.96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467851.09</v>
      </c>
      <c r="G549" s="87">
        <f>L526</f>
        <v>145774.28999999998</v>
      </c>
      <c r="H549" s="87">
        <f>L531</f>
        <v>46634</v>
      </c>
      <c r="I549" s="87">
        <f>L536</f>
        <v>0</v>
      </c>
      <c r="J549" s="87">
        <f>L541</f>
        <v>18393.59</v>
      </c>
      <c r="K549" s="87">
        <f>SUM(F549:J549)</f>
        <v>678652.97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276797.44</v>
      </c>
      <c r="G551" s="87">
        <f>L528</f>
        <v>9217.65</v>
      </c>
      <c r="H551" s="87">
        <f>L533</f>
        <v>19017.900000000001</v>
      </c>
      <c r="I551" s="87">
        <f>L538</f>
        <v>0</v>
      </c>
      <c r="J551" s="87">
        <f>L543</f>
        <v>0</v>
      </c>
      <c r="K551" s="87">
        <f>SUM(F551:J551)</f>
        <v>305032.99000000005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744648.53</v>
      </c>
      <c r="G552" s="89">
        <f t="shared" si="42"/>
        <v>154991.93999999997</v>
      </c>
      <c r="H552" s="89">
        <f t="shared" si="42"/>
        <v>65651.899999999994</v>
      </c>
      <c r="I552" s="89">
        <f t="shared" si="42"/>
        <v>0</v>
      </c>
      <c r="J552" s="89">
        <f t="shared" si="42"/>
        <v>18393.59</v>
      </c>
      <c r="K552" s="89">
        <f t="shared" si="42"/>
        <v>983685.96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0</v>
      </c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0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13643.28</v>
      </c>
      <c r="I579" s="87">
        <f t="shared" si="47"/>
        <v>13643.28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52110.38</v>
      </c>
      <c r="I582" s="87">
        <f t="shared" si="47"/>
        <v>52110.38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114342.58</v>
      </c>
      <c r="I591" s="18"/>
      <c r="J591" s="18">
        <v>68583.91</v>
      </c>
      <c r="K591" s="104">
        <f t="shared" ref="K591:K597" si="48">SUM(H591:J591)</f>
        <v>182926.49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18393.59</v>
      </c>
      <c r="I592" s="18"/>
      <c r="J592" s="18"/>
      <c r="K592" s="104">
        <f t="shared" si="48"/>
        <v>18393.59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4149.58</v>
      </c>
      <c r="I594" s="18"/>
      <c r="J594" s="18">
        <v>16527</v>
      </c>
      <c r="K594" s="104">
        <f t="shared" si="48"/>
        <v>20676.580000000002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7755.06</v>
      </c>
      <c r="I595" s="18"/>
      <c r="J595" s="18">
        <v>7556.53</v>
      </c>
      <c r="K595" s="104">
        <f t="shared" si="48"/>
        <v>15311.59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144640.81</v>
      </c>
      <c r="I598" s="108">
        <f>SUM(I591:I597)</f>
        <v>0</v>
      </c>
      <c r="J598" s="108">
        <f>SUM(J591:J597)</f>
        <v>92667.44</v>
      </c>
      <c r="K598" s="108">
        <f>SUM(K591:K597)</f>
        <v>237308.24999999997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74580.010000000009</v>
      </c>
      <c r="I604" s="18"/>
      <c r="J604" s="18">
        <v>57740.45</v>
      </c>
      <c r="K604" s="104">
        <f>SUM(H604:J604)</f>
        <v>132320.46000000002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74580.010000000009</v>
      </c>
      <c r="I605" s="108">
        <f>SUM(I602:I604)</f>
        <v>0</v>
      </c>
      <c r="J605" s="108">
        <f>SUM(J602:J604)</f>
        <v>57740.45</v>
      </c>
      <c r="K605" s="108">
        <f>SUM(K602:K604)</f>
        <v>132320.46000000002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701203.39999999991</v>
      </c>
      <c r="H617" s="109">
        <f>SUM(F52)</f>
        <v>701203.40000000014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18604.560000000001</v>
      </c>
      <c r="H618" s="109">
        <f>SUM(G52)</f>
        <v>18604.559999999976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90284.700000000012</v>
      </c>
      <c r="H619" s="109">
        <f>SUM(H52)</f>
        <v>90284.700000000012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528807.87</v>
      </c>
      <c r="H621" s="109">
        <f>SUM(J52)</f>
        <v>528807.87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593021.12000000011</v>
      </c>
      <c r="H622" s="109">
        <f>F476</f>
        <v>593021.12000000011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9178.6299999999774</v>
      </c>
      <c r="H623" s="109">
        <f>G476</f>
        <v>9178.6299999999756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528807.87</v>
      </c>
      <c r="H626" s="109">
        <f>J476</f>
        <v>528807.87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6340007.0800000001</v>
      </c>
      <c r="H627" s="104">
        <f>SUM(F468)</f>
        <v>6340007.0800000001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186018.43</v>
      </c>
      <c r="H628" s="104">
        <f>SUM(G468)</f>
        <v>186018.43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367384.87</v>
      </c>
      <c r="H629" s="104">
        <f>SUM(H468)</f>
        <v>367384.87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9203</v>
      </c>
      <c r="H631" s="104">
        <f>SUM(J468)</f>
        <v>9203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6121536.6099999994</v>
      </c>
      <c r="H632" s="104">
        <f>SUM(F472)</f>
        <v>6121536.6100000003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367384.86999999994</v>
      </c>
      <c r="H633" s="104">
        <f>SUM(H472)</f>
        <v>367384.87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2469.0700000000002</v>
      </c>
      <c r="H634" s="104">
        <f>I369</f>
        <v>2469.0700000000002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183134.16</v>
      </c>
      <c r="H635" s="104">
        <f>SUM(G472)</f>
        <v>183134.16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9203</v>
      </c>
      <c r="H637" s="164">
        <f>SUM(J468)</f>
        <v>9203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10000</v>
      </c>
      <c r="H638" s="164">
        <f>SUM(J472)</f>
        <v>10000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503807.87</v>
      </c>
      <c r="H640" s="104">
        <f>SUM(G461)</f>
        <v>503807.87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25000</v>
      </c>
      <c r="H641" s="104">
        <f>SUM(H461)</f>
        <v>25000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528807.87</v>
      </c>
      <c r="H642" s="104">
        <f>SUM(I461)</f>
        <v>528807.87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9203</v>
      </c>
      <c r="H644" s="104">
        <f>H408</f>
        <v>9203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9203</v>
      </c>
      <c r="H646" s="104">
        <f>L408</f>
        <v>9203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237308.24999999997</v>
      </c>
      <c r="H647" s="104">
        <f>L208+L226+L244</f>
        <v>237308.25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132320.46000000002</v>
      </c>
      <c r="H648" s="104">
        <f>(J257+J338)-(J255+J336)</f>
        <v>132320.46000000002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144640.81</v>
      </c>
      <c r="H649" s="104">
        <f>H598</f>
        <v>144640.81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92667.44</v>
      </c>
      <c r="H651" s="104">
        <f>J598</f>
        <v>92667.44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18000</v>
      </c>
      <c r="H652" s="104">
        <f>K263+K345</f>
        <v>18000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3708739.17</v>
      </c>
      <c r="G660" s="19">
        <f>(L229+L309+L359)</f>
        <v>0</v>
      </c>
      <c r="H660" s="19">
        <f>(L247+L328+L360)</f>
        <v>2487235.4699999988</v>
      </c>
      <c r="I660" s="19">
        <f>SUM(F660:H660)</f>
        <v>6195974.6399999987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53584.491440605074</v>
      </c>
      <c r="G661" s="19">
        <f>(L359/IF(SUM(L358:L360)=0,1,SUM(L358:L360))*(SUM(G97:G110)))</f>
        <v>0</v>
      </c>
      <c r="H661" s="19">
        <f>(L360/IF(SUM(L358:L360)=0,1,SUM(L358:L360))*(SUM(G97:G110)))</f>
        <v>22790.928559394928</v>
      </c>
      <c r="I661" s="19">
        <f>SUM(F661:H661)</f>
        <v>76375.42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145111.81</v>
      </c>
      <c r="G662" s="19">
        <f>(L226+L306)-(J226+J306)</f>
        <v>0</v>
      </c>
      <c r="H662" s="19">
        <f>(L244+L325)-(J244+J325)</f>
        <v>92667.44</v>
      </c>
      <c r="I662" s="19">
        <f>SUM(F662:H662)</f>
        <v>237779.25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74580.010000000009</v>
      </c>
      <c r="G663" s="199">
        <f>SUM(G575:G587)+SUM(I602:I604)+L612</f>
        <v>0</v>
      </c>
      <c r="H663" s="199">
        <f>SUM(H575:H587)+SUM(J602:J604)+L613</f>
        <v>123494.11</v>
      </c>
      <c r="I663" s="19">
        <f>SUM(F663:H663)</f>
        <v>198074.12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3435462.8585593947</v>
      </c>
      <c r="G664" s="19">
        <f>G660-SUM(G661:G663)</f>
        <v>0</v>
      </c>
      <c r="H664" s="19">
        <f>H660-SUM(H661:H663)</f>
        <v>2248282.991440604</v>
      </c>
      <c r="I664" s="19">
        <f>I660-SUM(I661:I663)</f>
        <v>5683745.8499999987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263.99</v>
      </c>
      <c r="G665" s="248"/>
      <c r="H665" s="248">
        <v>117.63</v>
      </c>
      <c r="I665" s="19">
        <f>SUM(F665:H665)</f>
        <v>381.62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13013.61</v>
      </c>
      <c r="G667" s="19" t="e">
        <f>ROUND(G664/G665,2)</f>
        <v>#DIV/0!</v>
      </c>
      <c r="H667" s="19">
        <f>ROUND(H664/H665,2)</f>
        <v>19113.18</v>
      </c>
      <c r="I667" s="19">
        <f>ROUND(I664/I665,2)</f>
        <v>14893.73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-0.33</v>
      </c>
      <c r="I670" s="19">
        <f>SUM(F670:H670)</f>
        <v>-0.33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13013.61</v>
      </c>
      <c r="G672" s="19" t="e">
        <f>ROUND((G664+G669)/(G665+G670),2)</f>
        <v>#DIV/0!</v>
      </c>
      <c r="H672" s="19">
        <f>ROUND((H664+H669)/(H665+H670),2)</f>
        <v>19166.95</v>
      </c>
      <c r="I672" s="19">
        <f>ROUND((I664+I669)/(I665+I670),2)</f>
        <v>14906.62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>
    <dataRefs count="1">
      <dataRef ref="F9:L672" sheet="DOE25" r:id="rId1"/>
    </dataRefs>
  </dataConsolidate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2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0" sqref="C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Colebrook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1632418.11</v>
      </c>
      <c r="C9" s="229">
        <f>'DOE25'!G197+'DOE25'!G215+'DOE25'!G233+'DOE25'!G276+'DOE25'!G295+'DOE25'!G314</f>
        <v>845069.09999999986</v>
      </c>
    </row>
    <row r="10" spans="1:3" x14ac:dyDescent="0.2">
      <c r="A10" t="s">
        <v>779</v>
      </c>
      <c r="B10" s="240">
        <f>1580884.13-154.5</f>
        <v>1580729.63</v>
      </c>
      <c r="C10" s="240">
        <v>840959.88</v>
      </c>
    </row>
    <row r="11" spans="1:3" x14ac:dyDescent="0.2">
      <c r="A11" t="s">
        <v>780</v>
      </c>
      <c r="B11" s="240">
        <v>17938.48</v>
      </c>
      <c r="C11" s="240">
        <v>1426.1</v>
      </c>
    </row>
    <row r="12" spans="1:3" x14ac:dyDescent="0.2">
      <c r="A12" t="s">
        <v>781</v>
      </c>
      <c r="B12" s="240">
        <v>33750</v>
      </c>
      <c r="C12" s="240">
        <v>2683.12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1632418.1099999999</v>
      </c>
      <c r="C13" s="231">
        <f>SUM(C10:C12)</f>
        <v>845069.1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490409.89</v>
      </c>
      <c r="C18" s="229">
        <f>'DOE25'!G198+'DOE25'!G216+'DOE25'!G234+'DOE25'!G277+'DOE25'!G296+'DOE25'!G315</f>
        <v>168251.6</v>
      </c>
    </row>
    <row r="19" spans="1:3" x14ac:dyDescent="0.2">
      <c r="A19" t="s">
        <v>779</v>
      </c>
      <c r="B19" s="240">
        <v>250272.08000000002</v>
      </c>
      <c r="C19" s="240">
        <v>149160.64000000001</v>
      </c>
    </row>
    <row r="20" spans="1:3" x14ac:dyDescent="0.2">
      <c r="A20" t="s">
        <v>780</v>
      </c>
      <c r="B20" s="240">
        <v>233405.29</v>
      </c>
      <c r="C20" s="240">
        <v>18555.72</v>
      </c>
    </row>
    <row r="21" spans="1:3" x14ac:dyDescent="0.2">
      <c r="A21" t="s">
        <v>781</v>
      </c>
      <c r="B21" s="240">
        <v>6732.52</v>
      </c>
      <c r="C21" s="240">
        <v>535.24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490409.89</v>
      </c>
      <c r="C22" s="231">
        <f>SUM(C19:C21)</f>
        <v>168251.6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82725.98</v>
      </c>
      <c r="C36" s="235">
        <f>'DOE25'!G200+'DOE25'!G218+'DOE25'!G236+'DOE25'!G279+'DOE25'!G298+'DOE25'!G317</f>
        <v>11609.37</v>
      </c>
    </row>
    <row r="37" spans="1:3" x14ac:dyDescent="0.2">
      <c r="A37" t="s">
        <v>779</v>
      </c>
      <c r="B37" s="240">
        <v>25546.45</v>
      </c>
      <c r="C37" s="240">
        <v>7063.59</v>
      </c>
    </row>
    <row r="38" spans="1:3" x14ac:dyDescent="0.2">
      <c r="A38" t="s">
        <v>780</v>
      </c>
      <c r="B38" s="240">
        <v>794.53</v>
      </c>
      <c r="C38" s="240">
        <v>63.17</v>
      </c>
    </row>
    <row r="39" spans="1:3" x14ac:dyDescent="0.2">
      <c r="A39" t="s">
        <v>781</v>
      </c>
      <c r="B39" s="240">
        <v>56385</v>
      </c>
      <c r="C39" s="240">
        <v>4482.6099999999997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82725.98</v>
      </c>
      <c r="C40" s="231">
        <f>SUM(C37:C39)</f>
        <v>11609.369999999999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Colebrook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3209143.4699999997</v>
      </c>
      <c r="D5" s="20">
        <f>SUM('DOE25'!L197:L200)+SUM('DOE25'!L215:L218)+SUM('DOE25'!L233:L236)-F5-G5</f>
        <v>3193368.4099999997</v>
      </c>
      <c r="E5" s="243"/>
      <c r="F5" s="255">
        <f>SUM('DOE25'!J197:J200)+SUM('DOE25'!J215:J218)+SUM('DOE25'!J233:J236)</f>
        <v>5882.29</v>
      </c>
      <c r="G5" s="53">
        <f>SUM('DOE25'!K197:K200)+SUM('DOE25'!K215:K218)+SUM('DOE25'!K233:K236)</f>
        <v>9892.77</v>
      </c>
      <c r="H5" s="259"/>
    </row>
    <row r="6" spans="1:9" x14ac:dyDescent="0.2">
      <c r="A6" s="32">
        <v>2100</v>
      </c>
      <c r="B6" t="s">
        <v>801</v>
      </c>
      <c r="C6" s="245">
        <f t="shared" si="0"/>
        <v>627758.53</v>
      </c>
      <c r="D6" s="20">
        <f>'DOE25'!L202+'DOE25'!L220+'DOE25'!L238-F6-G6</f>
        <v>562246.92000000004</v>
      </c>
      <c r="E6" s="243"/>
      <c r="F6" s="255">
        <f>'DOE25'!J202+'DOE25'!J220+'DOE25'!J238</f>
        <v>60037.960000000006</v>
      </c>
      <c r="G6" s="53">
        <f>'DOE25'!K202+'DOE25'!K220+'DOE25'!K238</f>
        <v>5473.65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105295.20000000001</v>
      </c>
      <c r="D7" s="20">
        <f>'DOE25'!L203+'DOE25'!L221+'DOE25'!L239-F7-G7</f>
        <v>97465.200000000012</v>
      </c>
      <c r="E7" s="243"/>
      <c r="F7" s="255">
        <f>'DOE25'!J203+'DOE25'!J221+'DOE25'!J239</f>
        <v>0</v>
      </c>
      <c r="G7" s="53">
        <f>'DOE25'!K203+'DOE25'!K221+'DOE25'!K239</f>
        <v>7830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198590.55999999997</v>
      </c>
      <c r="D8" s="243"/>
      <c r="E8" s="20">
        <f>'DOE25'!L204+'DOE25'!L222+'DOE25'!L240-F8-G8-D9-D11</f>
        <v>192495.65999999997</v>
      </c>
      <c r="F8" s="255">
        <f>'DOE25'!J204+'DOE25'!J222+'DOE25'!J240</f>
        <v>4379.1899999999996</v>
      </c>
      <c r="G8" s="53">
        <f>'DOE25'!K204+'DOE25'!K222+'DOE25'!K240</f>
        <v>1715.71</v>
      </c>
      <c r="H8" s="259"/>
    </row>
    <row r="9" spans="1:9" x14ac:dyDescent="0.2">
      <c r="A9" s="32">
        <v>2310</v>
      </c>
      <c r="B9" t="s">
        <v>818</v>
      </c>
      <c r="C9" s="245">
        <f t="shared" si="0"/>
        <v>39596.6</v>
      </c>
      <c r="D9" s="244">
        <v>39596.6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9700</v>
      </c>
      <c r="D10" s="243"/>
      <c r="E10" s="244">
        <v>9700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113355.2</v>
      </c>
      <c r="D11" s="244">
        <v>113355.2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390830.66</v>
      </c>
      <c r="D12" s="20">
        <f>'DOE25'!L205+'DOE25'!L223+'DOE25'!L241-F12-G12</f>
        <v>387938.72</v>
      </c>
      <c r="E12" s="243"/>
      <c r="F12" s="255">
        <f>'DOE25'!J205+'DOE25'!J223+'DOE25'!J241</f>
        <v>419.94</v>
      </c>
      <c r="G12" s="53">
        <f>'DOE25'!K205+'DOE25'!K223+'DOE25'!K241</f>
        <v>2472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723577.1399999999</v>
      </c>
      <c r="D14" s="20">
        <f>'DOE25'!L207+'DOE25'!L225+'DOE25'!L243-F14-G14</f>
        <v>703730.67999999993</v>
      </c>
      <c r="E14" s="243"/>
      <c r="F14" s="255">
        <f>'DOE25'!J207+'DOE25'!J225+'DOE25'!J243</f>
        <v>18940.199999999997</v>
      </c>
      <c r="G14" s="53">
        <f>'DOE25'!K207+'DOE25'!K225+'DOE25'!K243</f>
        <v>906.26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237308.25</v>
      </c>
      <c r="D15" s="20">
        <f>'DOE25'!L208+'DOE25'!L226+'DOE25'!L244-F15-G15</f>
        <v>237009</v>
      </c>
      <c r="E15" s="243"/>
      <c r="F15" s="255">
        <f>'DOE25'!J208+'DOE25'!J226+'DOE25'!J244</f>
        <v>0</v>
      </c>
      <c r="G15" s="53">
        <f>'DOE25'!K208+'DOE25'!K226+'DOE25'!K244</f>
        <v>299.25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435045</v>
      </c>
      <c r="D25" s="243"/>
      <c r="E25" s="243"/>
      <c r="F25" s="258"/>
      <c r="G25" s="256"/>
      <c r="H25" s="257">
        <f>'DOE25'!L260+'DOE25'!L261+'DOE25'!L341+'DOE25'!L342</f>
        <v>435045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183134.16</v>
      </c>
      <c r="D29" s="20">
        <f>'DOE25'!L358+'DOE25'!L359+'DOE25'!L360-'DOE25'!I367-F29-G29</f>
        <v>183134.16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367384.86999999994</v>
      </c>
      <c r="D31" s="20">
        <f>'DOE25'!L290+'DOE25'!L309+'DOE25'!L328+'DOE25'!L333+'DOE25'!L334+'DOE25'!L335-F31-G31</f>
        <v>314128.85999999993</v>
      </c>
      <c r="E31" s="243"/>
      <c r="F31" s="255">
        <f>'DOE25'!J290+'DOE25'!J309+'DOE25'!J328+'DOE25'!J333+'DOE25'!J334+'DOE25'!J335</f>
        <v>42660.88</v>
      </c>
      <c r="G31" s="53">
        <f>'DOE25'!K290+'DOE25'!K309+'DOE25'!K328+'DOE25'!K333+'DOE25'!K334+'DOE25'!K335</f>
        <v>10595.130000000001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5831973.75</v>
      </c>
      <c r="E33" s="246">
        <f>SUM(E5:E31)</f>
        <v>202195.65999999997</v>
      </c>
      <c r="F33" s="246">
        <f>SUM(F5:F31)</f>
        <v>132320.46</v>
      </c>
      <c r="G33" s="246">
        <f>SUM(G5:G31)</f>
        <v>39184.769999999997</v>
      </c>
      <c r="H33" s="246">
        <f>SUM(H5:H31)</f>
        <v>435045</v>
      </c>
    </row>
    <row r="35" spans="2:8" ht="12" thickBot="1" x14ac:dyDescent="0.25">
      <c r="B35" s="253" t="s">
        <v>847</v>
      </c>
      <c r="D35" s="254">
        <f>E33</f>
        <v>202195.65999999997</v>
      </c>
      <c r="E35" s="249"/>
    </row>
    <row r="36" spans="2:8" ht="12" thickTop="1" x14ac:dyDescent="0.2">
      <c r="B36" t="s">
        <v>815</v>
      </c>
      <c r="D36" s="20">
        <f>D33</f>
        <v>5831973.75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Colebrook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561183.88</v>
      </c>
      <c r="D8" s="95">
        <f>'DOE25'!G9</f>
        <v>10865.67</v>
      </c>
      <c r="E8" s="95">
        <f>'DOE25'!H9</f>
        <v>0</v>
      </c>
      <c r="F8" s="95">
        <f>'DOE25'!I9</f>
        <v>0</v>
      </c>
      <c r="G8" s="95">
        <f>'DOE25'!J9</f>
        <v>528807.87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87899.34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32110.240000000002</v>
      </c>
      <c r="D12" s="95">
        <f>'DOE25'!G13</f>
        <v>4165.6400000000003</v>
      </c>
      <c r="E12" s="95">
        <f>'DOE25'!H13</f>
        <v>90284.700000000012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20009.939999999999</v>
      </c>
      <c r="D13" s="95">
        <f>'DOE25'!G14</f>
        <v>468.72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3104.53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701203.39999999991</v>
      </c>
      <c r="D18" s="41">
        <f>SUM(D8:D17)</f>
        <v>18604.560000000001</v>
      </c>
      <c r="E18" s="41">
        <f>SUM(E8:E17)</f>
        <v>90284.700000000012</v>
      </c>
      <c r="F18" s="41">
        <f>SUM(F8:F17)</f>
        <v>0</v>
      </c>
      <c r="G18" s="41">
        <f>SUM(G8:G17)</f>
        <v>528807.87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87899.340000000011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32847.269999999997</v>
      </c>
      <c r="D23" s="95">
        <f>'DOE25'!G24</f>
        <v>9425.93</v>
      </c>
      <c r="E23" s="95">
        <f>'DOE25'!H24</f>
        <v>976.78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13388.72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15084.82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46861.47</v>
      </c>
      <c r="D29" s="95">
        <f>'DOE25'!G30</f>
        <v>0</v>
      </c>
      <c r="E29" s="95">
        <f>'DOE25'!H30</f>
        <v>1408.5800000000002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108182.28</v>
      </c>
      <c r="D31" s="41">
        <f>SUM(D21:D30)</f>
        <v>9425.93</v>
      </c>
      <c r="E31" s="41">
        <f>SUM(E21:E30)</f>
        <v>90284.700000000012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3104.53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6074.0999999999767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528807.87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10300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582721.12000000011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593021.12000000011</v>
      </c>
      <c r="D50" s="41">
        <f>SUM(D34:D49)</f>
        <v>9178.6299999999774</v>
      </c>
      <c r="E50" s="41">
        <f>SUM(E34:E49)</f>
        <v>0</v>
      </c>
      <c r="F50" s="41">
        <f>SUM(F34:F49)</f>
        <v>0</v>
      </c>
      <c r="G50" s="41">
        <f>SUM(G34:G49)</f>
        <v>528807.87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701203.40000000014</v>
      </c>
      <c r="D51" s="41">
        <f>D50+D31</f>
        <v>18604.559999999976</v>
      </c>
      <c r="E51" s="41">
        <f>E50+E31</f>
        <v>90284.700000000012</v>
      </c>
      <c r="F51" s="41">
        <f>F50+F31</f>
        <v>0</v>
      </c>
      <c r="G51" s="41">
        <f>G50+G31</f>
        <v>528807.87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2014081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1603322.58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64.09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9203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76375.42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241803.24</v>
      </c>
      <c r="D61" s="95">
        <f>SUM('DOE25'!G98:G110)</f>
        <v>0</v>
      </c>
      <c r="E61" s="95">
        <f>SUM('DOE25'!H98:H110)</f>
        <v>68095.499999999985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1845189.9100000001</v>
      </c>
      <c r="D62" s="130">
        <f>SUM(D57:D61)</f>
        <v>76375.42</v>
      </c>
      <c r="E62" s="130">
        <f>SUM(E57:E61)</f>
        <v>68095.499999999985</v>
      </c>
      <c r="F62" s="130">
        <f>SUM(F57:F61)</f>
        <v>0</v>
      </c>
      <c r="G62" s="130">
        <f>SUM(G57:G61)</f>
        <v>9203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3859270.91</v>
      </c>
      <c r="D63" s="22">
        <f>D56+D62</f>
        <v>76375.42</v>
      </c>
      <c r="E63" s="22">
        <f>E56+E62</f>
        <v>68095.499999999985</v>
      </c>
      <c r="F63" s="22">
        <f>F56+F62</f>
        <v>0</v>
      </c>
      <c r="G63" s="22">
        <f>G56+G62</f>
        <v>9203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1951603.29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355337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2306940.29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158313.70000000001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6411.5999999999995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2738.22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164725.30000000002</v>
      </c>
      <c r="D78" s="130">
        <f>SUM(D72:D77)</f>
        <v>2738.22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2471665.59</v>
      </c>
      <c r="D81" s="130">
        <f>SUM(D79:D80)+D78+D70</f>
        <v>2738.22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5163.3500000000004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69076.649999999994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9070.58</v>
      </c>
      <c r="D88" s="95">
        <f>SUM('DOE25'!G153:G161)</f>
        <v>88904.79</v>
      </c>
      <c r="E88" s="95">
        <f>SUM('DOE25'!H153:H161)</f>
        <v>225049.37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9070.58</v>
      </c>
      <c r="D91" s="131">
        <f>SUM(D85:D90)</f>
        <v>88904.79</v>
      </c>
      <c r="E91" s="131">
        <f>SUM(E85:E90)</f>
        <v>299289.37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18000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18000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6340007.0800000001</v>
      </c>
      <c r="D104" s="86">
        <f>D63+D81+D91+D103</f>
        <v>186018.43</v>
      </c>
      <c r="E104" s="86">
        <f>E63+E81+E91+E103</f>
        <v>367384.87</v>
      </c>
      <c r="F104" s="86">
        <f>F63+F81+F91+F103</f>
        <v>0</v>
      </c>
      <c r="G104" s="86">
        <f>G63+G81+G103</f>
        <v>9203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2402558.9800000004</v>
      </c>
      <c r="D109" s="24" t="s">
        <v>289</v>
      </c>
      <c r="E109" s="95">
        <f>('DOE25'!L276)+('DOE25'!L295)+('DOE25'!L314)</f>
        <v>224548.57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686144.04</v>
      </c>
      <c r="D110" s="24" t="s">
        <v>289</v>
      </c>
      <c r="E110" s="95">
        <f>('DOE25'!L277)+('DOE25'!L296)+('DOE25'!L315)</f>
        <v>59201.569999999992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120440.45000000001</v>
      </c>
      <c r="D112" s="24" t="s">
        <v>289</v>
      </c>
      <c r="E112" s="95">
        <f>+('DOE25'!L279)+('DOE25'!L298)+('DOE25'!L317)</f>
        <v>6620.1100000000006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3209143.4700000007</v>
      </c>
      <c r="D115" s="86">
        <f>SUM(D109:D114)</f>
        <v>0</v>
      </c>
      <c r="E115" s="86">
        <f>SUM(E109:E114)</f>
        <v>290370.25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627758.53</v>
      </c>
      <c r="D118" s="24" t="s">
        <v>289</v>
      </c>
      <c r="E118" s="95">
        <f>+('DOE25'!L281)+('DOE25'!L300)+('DOE25'!L319)</f>
        <v>29263.18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105295.20000000001</v>
      </c>
      <c r="D119" s="24" t="s">
        <v>289</v>
      </c>
      <c r="E119" s="95">
        <f>+('DOE25'!L282)+('DOE25'!L301)+('DOE25'!L320)</f>
        <v>40263.629999999997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351542.36</v>
      </c>
      <c r="D120" s="24" t="s">
        <v>289</v>
      </c>
      <c r="E120" s="95">
        <f>+('DOE25'!L283)+('DOE25'!L302)+('DOE25'!L321)</f>
        <v>4016.81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390830.66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3000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723577.1399999999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237308.25</v>
      </c>
      <c r="D124" s="24" t="s">
        <v>289</v>
      </c>
      <c r="E124" s="95">
        <f>+('DOE25'!L287)+('DOE25'!L306)+('DOE25'!L325)</f>
        <v>471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183134.16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2436312.1399999997</v>
      </c>
      <c r="D128" s="86">
        <f>SUM(D118:D127)</f>
        <v>183134.16</v>
      </c>
      <c r="E128" s="86">
        <f>SUM(E118:E127)</f>
        <v>77014.62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390000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45045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18000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9203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-9203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23036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476081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6121536.6100000003</v>
      </c>
      <c r="D145" s="86">
        <f>(D115+D128+D144)</f>
        <v>183134.16</v>
      </c>
      <c r="E145" s="86">
        <f>(E115+E128+E144)</f>
        <v>367384.87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5840000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4.37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1170000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1170000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390000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390000</v>
      </c>
    </row>
    <row r="159" spans="1:9" x14ac:dyDescent="0.2">
      <c r="A159" s="22" t="s">
        <v>35</v>
      </c>
      <c r="B159" s="137">
        <f>'DOE25'!F498</f>
        <v>780000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780000</v>
      </c>
    </row>
    <row r="160" spans="1:9" x14ac:dyDescent="0.2">
      <c r="A160" s="22" t="s">
        <v>36</v>
      </c>
      <c r="B160" s="137">
        <f>'DOE25'!F499</f>
        <v>36465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36465</v>
      </c>
    </row>
    <row r="161" spans="1:7" x14ac:dyDescent="0.2">
      <c r="A161" s="22" t="s">
        <v>37</v>
      </c>
      <c r="B161" s="137">
        <f>'DOE25'!F500</f>
        <v>816465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816465</v>
      </c>
    </row>
    <row r="162" spans="1:7" x14ac:dyDescent="0.2">
      <c r="A162" s="22" t="s">
        <v>38</v>
      </c>
      <c r="B162" s="137">
        <f>'DOE25'!F501</f>
        <v>390000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390000</v>
      </c>
    </row>
    <row r="163" spans="1:7" x14ac:dyDescent="0.2">
      <c r="A163" s="22" t="s">
        <v>39</v>
      </c>
      <c r="B163" s="137">
        <f>'DOE25'!F502</f>
        <v>18135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18135</v>
      </c>
    </row>
    <row r="164" spans="1:7" x14ac:dyDescent="0.2">
      <c r="A164" s="22" t="s">
        <v>246</v>
      </c>
      <c r="B164" s="137">
        <f>'DOE25'!F503</f>
        <v>408135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408135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Colebrook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13014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19167</v>
      </c>
    </row>
    <row r="7" spans="1:4" x14ac:dyDescent="0.2">
      <c r="B7" t="s">
        <v>705</v>
      </c>
      <c r="C7" s="179">
        <f>IF('DOE25'!I665+'DOE25'!I670=0,0,ROUND('DOE25'!I672,0))</f>
        <v>14907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2627108</v>
      </c>
      <c r="D10" s="182">
        <f>ROUND((C10/$C$28)*100,1)</f>
        <v>42.5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745346</v>
      </c>
      <c r="D11" s="182">
        <f>ROUND((C11/$C$28)*100,1)</f>
        <v>12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127061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657022</v>
      </c>
      <c r="D15" s="182">
        <f t="shared" ref="D15:D27" si="0">ROUND((C15/$C$28)*100,1)</f>
        <v>10.6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145559</v>
      </c>
      <c r="D16" s="182">
        <f t="shared" si="0"/>
        <v>2.4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355559</v>
      </c>
      <c r="D17" s="182">
        <f t="shared" si="0"/>
        <v>5.7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390831</v>
      </c>
      <c r="D18" s="182">
        <f t="shared" si="0"/>
        <v>6.3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3000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723577</v>
      </c>
      <c r="D20" s="182">
        <f t="shared" si="0"/>
        <v>11.7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237779</v>
      </c>
      <c r="D21" s="182">
        <f t="shared" si="0"/>
        <v>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45045</v>
      </c>
      <c r="D25" s="182">
        <f t="shared" si="0"/>
        <v>0.7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23036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106758.58</v>
      </c>
      <c r="D27" s="182">
        <f t="shared" si="0"/>
        <v>1.7</v>
      </c>
    </row>
    <row r="28" spans="1:4" x14ac:dyDescent="0.2">
      <c r="B28" s="187" t="s">
        <v>723</v>
      </c>
      <c r="C28" s="180">
        <f>SUM(C10:C27)</f>
        <v>6187681.5800000001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6187681.5800000001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390000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2014081</v>
      </c>
      <c r="D35" s="182">
        <f t="shared" ref="D35:D40" si="1">ROUND((C35/$C$41)*100,1)</f>
        <v>29.6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1922488.4100000001</v>
      </c>
      <c r="D36" s="182">
        <f t="shared" si="1"/>
        <v>28.2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2306940</v>
      </c>
      <c r="D37" s="182">
        <f t="shared" si="1"/>
        <v>33.9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167464</v>
      </c>
      <c r="D38" s="182">
        <f t="shared" si="1"/>
        <v>2.5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397265</v>
      </c>
      <c r="D39" s="182">
        <f t="shared" si="1"/>
        <v>5.8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6808238.4100000001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Colebrook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2015-10-05T12:22:04Z</cp:lastPrinted>
  <dcterms:created xsi:type="dcterms:W3CDTF">1997-12-04T19:04:30Z</dcterms:created>
  <dcterms:modified xsi:type="dcterms:W3CDTF">2015-11-25T15:22:12Z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