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3040" windowHeight="972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101" i="1" l="1"/>
  <c r="D11" i="13" l="1"/>
  <c r="C39" i="12"/>
  <c r="C38" i="12"/>
  <c r="C37" i="12"/>
  <c r="C29" i="12"/>
  <c r="C28" i="12"/>
  <c r="C20" i="12"/>
  <c r="C19" i="12"/>
  <c r="C12" i="12"/>
  <c r="C11" i="12"/>
  <c r="C10" i="12"/>
  <c r="B39" i="12"/>
  <c r="B30" i="12"/>
  <c r="C30" i="12" s="1"/>
  <c r="B21" i="12"/>
  <c r="C21" i="12" s="1"/>
  <c r="B12" i="12"/>
  <c r="F502" i="1"/>
  <c r="F499" i="1"/>
  <c r="J597" i="1" l="1"/>
  <c r="H597" i="1"/>
  <c r="I595" i="1"/>
  <c r="K426" i="1" l="1"/>
  <c r="H582" i="1"/>
  <c r="G582" i="1"/>
  <c r="F582" i="1"/>
  <c r="H579" i="1"/>
  <c r="G579" i="1"/>
  <c r="F579" i="1"/>
  <c r="J564" i="1"/>
  <c r="I564" i="1"/>
  <c r="H564" i="1"/>
  <c r="G564" i="1"/>
  <c r="F564" i="1"/>
  <c r="I563" i="1"/>
  <c r="H563" i="1"/>
  <c r="G563" i="1"/>
  <c r="F563" i="1"/>
  <c r="I562" i="1"/>
  <c r="H562" i="1"/>
  <c r="G562" i="1"/>
  <c r="F562" i="1"/>
  <c r="G533" i="1" l="1"/>
  <c r="F533" i="1"/>
  <c r="G532" i="1"/>
  <c r="F532" i="1"/>
  <c r="G531" i="1"/>
  <c r="F531" i="1"/>
  <c r="K543" i="1"/>
  <c r="J543" i="1"/>
  <c r="I543" i="1"/>
  <c r="H543" i="1"/>
  <c r="G543" i="1"/>
  <c r="F543" i="1"/>
  <c r="K542" i="1"/>
  <c r="J542" i="1"/>
  <c r="I542" i="1"/>
  <c r="H542" i="1"/>
  <c r="G542" i="1"/>
  <c r="F542" i="1"/>
  <c r="K541" i="1"/>
  <c r="J541" i="1"/>
  <c r="I541" i="1"/>
  <c r="H541" i="1"/>
  <c r="G541" i="1"/>
  <c r="F541" i="1"/>
  <c r="K528" i="1"/>
  <c r="J528" i="1"/>
  <c r="I528" i="1"/>
  <c r="H528" i="1"/>
  <c r="G528" i="1"/>
  <c r="F528" i="1"/>
  <c r="K527" i="1"/>
  <c r="J527" i="1"/>
  <c r="I527" i="1"/>
  <c r="H527" i="1"/>
  <c r="G527" i="1"/>
  <c r="F527" i="1"/>
  <c r="K526" i="1"/>
  <c r="J526" i="1"/>
  <c r="I526" i="1"/>
  <c r="H526" i="1"/>
  <c r="G526" i="1"/>
  <c r="F526" i="1"/>
  <c r="H538" i="1"/>
  <c r="H537" i="1"/>
  <c r="H536" i="1"/>
  <c r="K523" i="1"/>
  <c r="J523" i="1"/>
  <c r="I523" i="1"/>
  <c r="H523" i="1"/>
  <c r="G523" i="1"/>
  <c r="F523" i="1"/>
  <c r="K522" i="1"/>
  <c r="J522" i="1"/>
  <c r="I522" i="1"/>
  <c r="H522" i="1"/>
  <c r="G522" i="1"/>
  <c r="F522" i="1"/>
  <c r="K521" i="1"/>
  <c r="J521" i="1"/>
  <c r="I521" i="1"/>
  <c r="H521" i="1"/>
  <c r="G521" i="1"/>
  <c r="F521" i="1"/>
  <c r="I360" i="1" l="1"/>
  <c r="I359" i="1"/>
  <c r="I358" i="1"/>
  <c r="H325" i="1"/>
  <c r="H368" i="1" l="1"/>
  <c r="G368" i="1"/>
  <c r="F368" i="1"/>
  <c r="H367" i="1"/>
  <c r="G367" i="1"/>
  <c r="F367" i="1"/>
  <c r="K360" i="1"/>
  <c r="H360" i="1"/>
  <c r="G360" i="1"/>
  <c r="F360" i="1"/>
  <c r="K359" i="1"/>
  <c r="K358" i="1"/>
  <c r="H359" i="1"/>
  <c r="G359" i="1"/>
  <c r="F359" i="1"/>
  <c r="H358" i="1"/>
  <c r="G358" i="1"/>
  <c r="F358" i="1"/>
  <c r="F233" i="1"/>
  <c r="F215" i="1"/>
  <c r="F197" i="1"/>
  <c r="G251" i="1"/>
  <c r="G243" i="1"/>
  <c r="G241" i="1"/>
  <c r="G239" i="1"/>
  <c r="G238" i="1"/>
  <c r="G236" i="1"/>
  <c r="G235" i="1"/>
  <c r="G234" i="1"/>
  <c r="G233" i="1"/>
  <c r="G225" i="1"/>
  <c r="G223" i="1"/>
  <c r="G221" i="1"/>
  <c r="G220" i="1"/>
  <c r="G218" i="1"/>
  <c r="G216" i="1"/>
  <c r="G215" i="1"/>
  <c r="G207" i="1"/>
  <c r="G205" i="1"/>
  <c r="G203" i="1"/>
  <c r="G202" i="1"/>
  <c r="G200" i="1"/>
  <c r="G198" i="1"/>
  <c r="G197" i="1"/>
  <c r="J321" i="1" l="1"/>
  <c r="I321" i="1"/>
  <c r="H321" i="1"/>
  <c r="G321" i="1"/>
  <c r="F321" i="1"/>
  <c r="J302" i="1"/>
  <c r="I302" i="1"/>
  <c r="H302" i="1"/>
  <c r="G302" i="1"/>
  <c r="F302" i="1"/>
  <c r="J283" i="1"/>
  <c r="I283" i="1"/>
  <c r="H283" i="1"/>
  <c r="G283" i="1"/>
  <c r="F283" i="1"/>
  <c r="J320" i="1"/>
  <c r="I320" i="1"/>
  <c r="H320" i="1"/>
  <c r="G320" i="1"/>
  <c r="F320" i="1"/>
  <c r="J301" i="1"/>
  <c r="I301" i="1"/>
  <c r="H301" i="1"/>
  <c r="G301" i="1"/>
  <c r="F301" i="1"/>
  <c r="J282" i="1"/>
  <c r="I282" i="1"/>
  <c r="H282" i="1"/>
  <c r="G282" i="1"/>
  <c r="F282" i="1"/>
  <c r="G319" i="1"/>
  <c r="F319" i="1"/>
  <c r="G300" i="1"/>
  <c r="F300" i="1"/>
  <c r="G281" i="1"/>
  <c r="F281" i="1"/>
  <c r="I315" i="1"/>
  <c r="H315" i="1"/>
  <c r="I296" i="1"/>
  <c r="H296" i="1"/>
  <c r="I277" i="1"/>
  <c r="H277" i="1"/>
  <c r="J314" i="1"/>
  <c r="I314" i="1"/>
  <c r="H314" i="1"/>
  <c r="J295" i="1"/>
  <c r="I295" i="1"/>
  <c r="H295" i="1"/>
  <c r="J276" i="1"/>
  <c r="I276" i="1"/>
  <c r="H276" i="1"/>
  <c r="F203" i="1"/>
  <c r="K266" i="1"/>
  <c r="K261" i="1"/>
  <c r="K260" i="1"/>
  <c r="H255" i="1"/>
  <c r="I245" i="1"/>
  <c r="H245" i="1"/>
  <c r="G245" i="1"/>
  <c r="F245" i="1"/>
  <c r="I227" i="1"/>
  <c r="H227" i="1"/>
  <c r="G227" i="1"/>
  <c r="F227" i="1"/>
  <c r="I209" i="1"/>
  <c r="H209" i="1"/>
  <c r="G209" i="1"/>
  <c r="F209" i="1"/>
  <c r="K244" i="1"/>
  <c r="J244" i="1"/>
  <c r="I244" i="1"/>
  <c r="H244" i="1"/>
  <c r="G244" i="1"/>
  <c r="F244" i="1"/>
  <c r="K226" i="1"/>
  <c r="J226" i="1"/>
  <c r="I226" i="1"/>
  <c r="H226" i="1"/>
  <c r="G226" i="1"/>
  <c r="F226" i="1"/>
  <c r="K208" i="1"/>
  <c r="J208" i="1"/>
  <c r="I208" i="1"/>
  <c r="H208" i="1"/>
  <c r="G208" i="1"/>
  <c r="F208" i="1"/>
  <c r="K243" i="1"/>
  <c r="J243" i="1"/>
  <c r="I243" i="1"/>
  <c r="H243" i="1"/>
  <c r="F243" i="1"/>
  <c r="K225" i="1"/>
  <c r="J225" i="1"/>
  <c r="I225" i="1"/>
  <c r="H225" i="1"/>
  <c r="F225" i="1"/>
  <c r="K207" i="1"/>
  <c r="J207" i="1"/>
  <c r="I207" i="1"/>
  <c r="H207" i="1"/>
  <c r="F207" i="1"/>
  <c r="K242" i="1"/>
  <c r="J242" i="1"/>
  <c r="I242" i="1"/>
  <c r="H242" i="1"/>
  <c r="G242" i="1"/>
  <c r="F242" i="1"/>
  <c r="K224" i="1"/>
  <c r="J224" i="1"/>
  <c r="I224" i="1"/>
  <c r="H224" i="1"/>
  <c r="G224" i="1"/>
  <c r="F224" i="1"/>
  <c r="K206" i="1"/>
  <c r="J206" i="1"/>
  <c r="I206" i="1"/>
  <c r="H206" i="1"/>
  <c r="G206" i="1"/>
  <c r="F206" i="1"/>
  <c r="K240" i="1"/>
  <c r="J240" i="1"/>
  <c r="I240" i="1"/>
  <c r="G240" i="1"/>
  <c r="F240" i="1"/>
  <c r="K222" i="1"/>
  <c r="J222" i="1"/>
  <c r="I222" i="1"/>
  <c r="H222" i="1"/>
  <c r="G222" i="1"/>
  <c r="F222" i="1"/>
  <c r="K204" i="1"/>
  <c r="J204" i="1"/>
  <c r="I204" i="1"/>
  <c r="H204" i="1"/>
  <c r="G204" i="1"/>
  <c r="F204" i="1"/>
  <c r="K239" i="1"/>
  <c r="J239" i="1"/>
  <c r="I239" i="1"/>
  <c r="H239" i="1"/>
  <c r="F239" i="1"/>
  <c r="K221" i="1"/>
  <c r="J221" i="1"/>
  <c r="I221" i="1"/>
  <c r="H221" i="1"/>
  <c r="F221" i="1"/>
  <c r="K203" i="1"/>
  <c r="J203" i="1"/>
  <c r="I203" i="1"/>
  <c r="H203" i="1"/>
  <c r="J238" i="1"/>
  <c r="I238" i="1"/>
  <c r="H238" i="1"/>
  <c r="F238" i="1"/>
  <c r="J220" i="1"/>
  <c r="I220" i="1"/>
  <c r="H220" i="1"/>
  <c r="F220" i="1"/>
  <c r="J202" i="1"/>
  <c r="I202" i="1"/>
  <c r="H202" i="1"/>
  <c r="F202" i="1"/>
  <c r="F236" i="1"/>
  <c r="F218" i="1"/>
  <c r="F200" i="1"/>
  <c r="J234" i="1"/>
  <c r="I234" i="1"/>
  <c r="H234" i="1"/>
  <c r="F234" i="1"/>
  <c r="J216" i="1"/>
  <c r="I216" i="1"/>
  <c r="H216" i="1"/>
  <c r="F216" i="1"/>
  <c r="J198" i="1"/>
  <c r="I198" i="1"/>
  <c r="H198" i="1"/>
  <c r="F198" i="1"/>
  <c r="I233" i="1"/>
  <c r="H233" i="1"/>
  <c r="I215" i="1"/>
  <c r="H215" i="1"/>
  <c r="I197" i="1"/>
  <c r="H197" i="1"/>
  <c r="H400" i="1"/>
  <c r="G400" i="1"/>
  <c r="J472" i="1"/>
  <c r="J380" i="1"/>
  <c r="H380" i="1"/>
  <c r="H379" i="1"/>
  <c r="I379" i="1"/>
  <c r="J379" i="1"/>
  <c r="H378" i="1"/>
  <c r="J378" i="1"/>
  <c r="I380" i="1"/>
  <c r="G380" i="1"/>
  <c r="F380" i="1"/>
  <c r="J360" i="1"/>
  <c r="J358" i="1"/>
  <c r="J333" i="1"/>
  <c r="I333" i="1"/>
  <c r="H333" i="1"/>
  <c r="G333" i="1"/>
  <c r="F333" i="1"/>
  <c r="K320" i="1"/>
  <c r="I319" i="1"/>
  <c r="H319" i="1"/>
  <c r="J317" i="1"/>
  <c r="I317" i="1"/>
  <c r="G317" i="1"/>
  <c r="F317" i="1"/>
  <c r="J316" i="1"/>
  <c r="H316" i="1"/>
  <c r="I316" i="1"/>
  <c r="G316" i="1"/>
  <c r="F316" i="1"/>
  <c r="G315" i="1"/>
  <c r="F315" i="1"/>
  <c r="J315" i="1"/>
  <c r="H306" i="1"/>
  <c r="H300" i="1"/>
  <c r="I298" i="1"/>
  <c r="G298" i="1"/>
  <c r="F298" i="1"/>
  <c r="G296" i="1"/>
  <c r="F296" i="1"/>
  <c r="G295" i="1"/>
  <c r="F295" i="1"/>
  <c r="G277" i="1" l="1"/>
  <c r="F277" i="1"/>
  <c r="H281" i="1"/>
  <c r="H336" i="1"/>
  <c r="J281" i="1"/>
  <c r="I279" i="1"/>
  <c r="G279" i="1"/>
  <c r="F279" i="1"/>
  <c r="J277" i="1"/>
  <c r="G276" i="1"/>
  <c r="F276" i="1"/>
  <c r="K251" i="1"/>
  <c r="I251" i="1"/>
  <c r="H251" i="1"/>
  <c r="F251" i="1"/>
  <c r="K241" i="1"/>
  <c r="J241" i="1"/>
  <c r="I241" i="1"/>
  <c r="H241" i="1"/>
  <c r="F241" i="1"/>
  <c r="K238" i="1"/>
  <c r="K236" i="1"/>
  <c r="J236" i="1"/>
  <c r="I236" i="1"/>
  <c r="H236" i="1"/>
  <c r="H235" i="1"/>
  <c r="K235" i="1"/>
  <c r="J235" i="1"/>
  <c r="I235" i="1"/>
  <c r="F235" i="1"/>
  <c r="K234" i="1"/>
  <c r="K233" i="1"/>
  <c r="J233" i="1"/>
  <c r="K223" i="1" l="1"/>
  <c r="I223" i="1"/>
  <c r="H223" i="1"/>
  <c r="F223" i="1"/>
  <c r="K218" i="1"/>
  <c r="J218" i="1"/>
  <c r="I218" i="1"/>
  <c r="H218" i="1"/>
  <c r="K215" i="1"/>
  <c r="J215" i="1"/>
  <c r="K205" i="1"/>
  <c r="I205" i="1"/>
  <c r="H205" i="1"/>
  <c r="F205" i="1"/>
  <c r="K197" i="1"/>
  <c r="J197" i="1"/>
  <c r="J468" i="1" l="1"/>
  <c r="G441" i="1"/>
  <c r="G459" i="1"/>
  <c r="G448" i="1"/>
  <c r="G440" i="1"/>
  <c r="J96" i="1"/>
  <c r="G158" i="1"/>
  <c r="G97" i="1"/>
  <c r="F69" i="1"/>
  <c r="F98" i="1"/>
  <c r="F63" i="1"/>
  <c r="F57" i="1"/>
  <c r="I48" i="1"/>
  <c r="H48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20" i="2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D12" i="13" s="1"/>
  <c r="C12" i="13" s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D18" i="13" s="1"/>
  <c r="C18" i="13" s="1"/>
  <c r="G18" i="13"/>
  <c r="L252" i="1"/>
  <c r="F19" i="13"/>
  <c r="G19" i="13"/>
  <c r="L253" i="1"/>
  <c r="C114" i="2" s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E121" i="2" s="1"/>
  <c r="L285" i="1"/>
  <c r="L286" i="1"/>
  <c r="L287" i="1"/>
  <c r="F662" i="1" s="1"/>
  <c r="L288" i="1"/>
  <c r="E125" i="2" s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E118" i="2" s="1"/>
  <c r="L320" i="1"/>
  <c r="L321" i="1"/>
  <c r="L322" i="1"/>
  <c r="L323" i="1"/>
  <c r="L324" i="1"/>
  <c r="L325" i="1"/>
  <c r="L326" i="1"/>
  <c r="L333" i="1"/>
  <c r="L334" i="1"/>
  <c r="L335" i="1"/>
  <c r="E114" i="2" s="1"/>
  <c r="L260" i="1"/>
  <c r="C131" i="2" s="1"/>
  <c r="L261" i="1"/>
  <c r="C132" i="2" s="1"/>
  <c r="L341" i="1"/>
  <c r="L342" i="1"/>
  <c r="C25" i="10" s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E56" i="2" s="1"/>
  <c r="I60" i="1"/>
  <c r="F56" i="2" s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C85" i="2" s="1"/>
  <c r="F162" i="1"/>
  <c r="G147" i="1"/>
  <c r="G162" i="1"/>
  <c r="H147" i="1"/>
  <c r="H162" i="1"/>
  <c r="I147" i="1"/>
  <c r="I162" i="1"/>
  <c r="C13" i="10"/>
  <c r="L250" i="1"/>
  <c r="L332" i="1"/>
  <c r="L254" i="1"/>
  <c r="L268" i="1"/>
  <c r="L269" i="1"/>
  <c r="C143" i="2" s="1"/>
  <c r="L349" i="1"/>
  <c r="L350" i="1"/>
  <c r="I665" i="1"/>
  <c r="I670" i="1"/>
  <c r="G662" i="1"/>
  <c r="I669" i="1"/>
  <c r="C42" i="10"/>
  <c r="L374" i="1"/>
  <c r="L375" i="1"/>
  <c r="L376" i="1"/>
  <c r="L377" i="1"/>
  <c r="L378" i="1"/>
  <c r="L379" i="1"/>
  <c r="L380" i="1"/>
  <c r="F130" i="2" s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E31" i="2" s="1"/>
  <c r="F29" i="2"/>
  <c r="C30" i="2"/>
  <c r="D30" i="2"/>
  <c r="E30" i="2"/>
  <c r="F30" i="2"/>
  <c r="I451" i="1"/>
  <c r="J31" i="1" s="1"/>
  <c r="G30" i="2" s="1"/>
  <c r="C34" i="2"/>
  <c r="D34" i="2"/>
  <c r="D50" i="2" s="1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C56" i="2"/>
  <c r="D56" i="2"/>
  <c r="C57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1" i="2"/>
  <c r="E111" i="2"/>
  <c r="C113" i="2"/>
  <c r="E113" i="2"/>
  <c r="D115" i="2"/>
  <c r="F115" i="2"/>
  <c r="G115" i="2"/>
  <c r="E120" i="2"/>
  <c r="E122" i="2"/>
  <c r="E123" i="2"/>
  <c r="E124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G156" i="2" s="1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G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G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G32" i="1"/>
  <c r="G52" i="1" s="1"/>
  <c r="H618" i="1" s="1"/>
  <c r="H32" i="1"/>
  <c r="I32" i="1"/>
  <c r="H617" i="1"/>
  <c r="H51" i="1"/>
  <c r="I51" i="1"/>
  <c r="G625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H408" i="1"/>
  <c r="I408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H461" i="1" s="1"/>
  <c r="H641" i="1" s="1"/>
  <c r="F460" i="1"/>
  <c r="G460" i="1"/>
  <c r="G461" i="1" s="1"/>
  <c r="H640" i="1" s="1"/>
  <c r="H460" i="1"/>
  <c r="F461" i="1"/>
  <c r="F470" i="1"/>
  <c r="G470" i="1"/>
  <c r="H470" i="1"/>
  <c r="I470" i="1"/>
  <c r="J470" i="1"/>
  <c r="F474" i="1"/>
  <c r="G474" i="1"/>
  <c r="G476" i="1" s="1"/>
  <c r="H623" i="1" s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I571" i="1" s="1"/>
  <c r="J565" i="1"/>
  <c r="K565" i="1"/>
  <c r="L567" i="1"/>
  <c r="L568" i="1"/>
  <c r="L570" i="1" s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G643" i="1"/>
  <c r="G644" i="1"/>
  <c r="H644" i="1"/>
  <c r="G645" i="1"/>
  <c r="J645" i="1" s="1"/>
  <c r="G650" i="1"/>
  <c r="G652" i="1"/>
  <c r="H652" i="1"/>
  <c r="G653" i="1"/>
  <c r="H653" i="1"/>
  <c r="G654" i="1"/>
  <c r="H654" i="1"/>
  <c r="H655" i="1"/>
  <c r="C26" i="10"/>
  <c r="F78" i="2"/>
  <c r="F81" i="2" s="1"/>
  <c r="G157" i="2"/>
  <c r="F18" i="2"/>
  <c r="E103" i="2"/>
  <c r="G62" i="2"/>
  <c r="E78" i="2"/>
  <c r="J639" i="1"/>
  <c r="K571" i="1"/>
  <c r="L433" i="1"/>
  <c r="I169" i="1"/>
  <c r="H169" i="1"/>
  <c r="J476" i="1"/>
  <c r="H626" i="1" s="1"/>
  <c r="J140" i="1"/>
  <c r="F571" i="1"/>
  <c r="L393" i="1"/>
  <c r="L560" i="1"/>
  <c r="G192" i="1"/>
  <c r="H192" i="1"/>
  <c r="C35" i="10"/>
  <c r="J655" i="1"/>
  <c r="C138" i="2"/>
  <c r="A40" i="12" l="1"/>
  <c r="A31" i="12"/>
  <c r="K605" i="1"/>
  <c r="G648" i="1" s="1"/>
  <c r="K598" i="1"/>
  <c r="G647" i="1" s="1"/>
  <c r="J571" i="1"/>
  <c r="L565" i="1"/>
  <c r="H571" i="1"/>
  <c r="H552" i="1"/>
  <c r="J545" i="1"/>
  <c r="L544" i="1"/>
  <c r="J552" i="1"/>
  <c r="K551" i="1"/>
  <c r="I545" i="1"/>
  <c r="G545" i="1"/>
  <c r="G552" i="1"/>
  <c r="K545" i="1"/>
  <c r="L539" i="1"/>
  <c r="I552" i="1"/>
  <c r="K550" i="1"/>
  <c r="H545" i="1"/>
  <c r="K549" i="1"/>
  <c r="L524" i="1"/>
  <c r="H476" i="1"/>
  <c r="H624" i="1" s="1"/>
  <c r="I369" i="1"/>
  <c r="H634" i="1" s="1"/>
  <c r="J634" i="1" s="1"/>
  <c r="C109" i="2"/>
  <c r="J338" i="1"/>
  <c r="J352" i="1" s="1"/>
  <c r="L270" i="1"/>
  <c r="C125" i="2"/>
  <c r="C124" i="2"/>
  <c r="G649" i="1"/>
  <c r="J649" i="1" s="1"/>
  <c r="D15" i="13"/>
  <c r="C15" i="13" s="1"/>
  <c r="C19" i="10"/>
  <c r="C122" i="2"/>
  <c r="E13" i="13"/>
  <c r="C13" i="13" s="1"/>
  <c r="E8" i="13"/>
  <c r="C8" i="13" s="1"/>
  <c r="C112" i="2"/>
  <c r="L427" i="1"/>
  <c r="L401" i="1"/>
  <c r="C139" i="2" s="1"/>
  <c r="I476" i="1"/>
  <c r="H625" i="1" s="1"/>
  <c r="C29" i="10"/>
  <c r="L382" i="1"/>
  <c r="G636" i="1" s="1"/>
  <c r="J636" i="1" s="1"/>
  <c r="F661" i="1"/>
  <c r="D127" i="2"/>
  <c r="D128" i="2" s="1"/>
  <c r="D145" i="2" s="1"/>
  <c r="H661" i="1"/>
  <c r="G661" i="1"/>
  <c r="H338" i="1"/>
  <c r="H352" i="1" s="1"/>
  <c r="K338" i="1"/>
  <c r="K352" i="1" s="1"/>
  <c r="E119" i="2"/>
  <c r="E128" i="2" s="1"/>
  <c r="C12" i="10"/>
  <c r="L328" i="1"/>
  <c r="E112" i="2"/>
  <c r="L309" i="1"/>
  <c r="E110" i="2"/>
  <c r="G338" i="1"/>
  <c r="G352" i="1" s="1"/>
  <c r="F338" i="1"/>
  <c r="F352" i="1" s="1"/>
  <c r="C21" i="10"/>
  <c r="C17" i="10"/>
  <c r="L290" i="1"/>
  <c r="D17" i="13"/>
  <c r="C17" i="13" s="1"/>
  <c r="C18" i="10"/>
  <c r="D7" i="13"/>
  <c r="C7" i="13" s="1"/>
  <c r="L247" i="1"/>
  <c r="K257" i="1"/>
  <c r="K271" i="1" s="1"/>
  <c r="G257" i="1"/>
  <c r="G271" i="1" s="1"/>
  <c r="C32" i="10"/>
  <c r="L256" i="1"/>
  <c r="C20" i="10"/>
  <c r="C121" i="2"/>
  <c r="C15" i="10"/>
  <c r="C118" i="2"/>
  <c r="L229" i="1"/>
  <c r="C11" i="10"/>
  <c r="J257" i="1"/>
  <c r="J271" i="1" s="1"/>
  <c r="I257" i="1"/>
  <c r="I271" i="1" s="1"/>
  <c r="C10" i="10"/>
  <c r="H257" i="1"/>
  <c r="H271" i="1" s="1"/>
  <c r="D14" i="13"/>
  <c r="C14" i="13" s="1"/>
  <c r="F257" i="1"/>
  <c r="F271" i="1" s="1"/>
  <c r="C16" i="10"/>
  <c r="D6" i="13"/>
  <c r="C6" i="13" s="1"/>
  <c r="J640" i="1"/>
  <c r="J644" i="1"/>
  <c r="H140" i="1"/>
  <c r="E62" i="2"/>
  <c r="E63" i="2" s="1"/>
  <c r="D91" i="2"/>
  <c r="D81" i="2"/>
  <c r="D62" i="2"/>
  <c r="D63" i="2" s="1"/>
  <c r="F476" i="1"/>
  <c r="H622" i="1" s="1"/>
  <c r="J622" i="1" s="1"/>
  <c r="C91" i="2"/>
  <c r="C78" i="2"/>
  <c r="C70" i="2"/>
  <c r="F112" i="1"/>
  <c r="J625" i="1"/>
  <c r="I52" i="1"/>
  <c r="H620" i="1" s="1"/>
  <c r="H52" i="1"/>
  <c r="H619" i="1" s="1"/>
  <c r="J619" i="1" s="1"/>
  <c r="D18" i="2"/>
  <c r="J617" i="1"/>
  <c r="C18" i="2"/>
  <c r="J623" i="1"/>
  <c r="J641" i="1"/>
  <c r="E16" i="13"/>
  <c r="F552" i="1"/>
  <c r="H25" i="13"/>
  <c r="F169" i="1"/>
  <c r="E81" i="2"/>
  <c r="D19" i="13"/>
  <c r="C19" i="13" s="1"/>
  <c r="D5" i="13"/>
  <c r="C5" i="13" s="1"/>
  <c r="F22" i="13"/>
  <c r="C22" i="13" s="1"/>
  <c r="H112" i="1"/>
  <c r="H193" i="1" s="1"/>
  <c r="G629" i="1" s="1"/>
  <c r="J629" i="1" s="1"/>
  <c r="D29" i="13"/>
  <c r="C29" i="13" s="1"/>
  <c r="G651" i="1"/>
  <c r="J651" i="1" s="1"/>
  <c r="G624" i="1"/>
  <c r="J624" i="1" s="1"/>
  <c r="L534" i="1"/>
  <c r="K500" i="1"/>
  <c r="I460" i="1"/>
  <c r="I452" i="1"/>
  <c r="I446" i="1"/>
  <c r="G642" i="1" s="1"/>
  <c r="C123" i="2"/>
  <c r="C119" i="2"/>
  <c r="C110" i="2"/>
  <c r="C115" i="2" s="1"/>
  <c r="E132" i="2"/>
  <c r="H662" i="1"/>
  <c r="I662" i="1" s="1"/>
  <c r="L211" i="1"/>
  <c r="L362" i="1"/>
  <c r="G635" i="1" s="1"/>
  <c r="J635" i="1" s="1"/>
  <c r="C62" i="2"/>
  <c r="C63" i="2" s="1"/>
  <c r="L351" i="1"/>
  <c r="H647" i="1"/>
  <c r="L614" i="1"/>
  <c r="L529" i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L571" i="1"/>
  <c r="I192" i="1"/>
  <c r="E91" i="2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F33" i="13"/>
  <c r="G18" i="2"/>
  <c r="F545" i="1"/>
  <c r="H434" i="1"/>
  <c r="J620" i="1"/>
  <c r="D103" i="2"/>
  <c r="I140" i="1"/>
  <c r="A22" i="12"/>
  <c r="G50" i="2"/>
  <c r="J652" i="1"/>
  <c r="G571" i="1"/>
  <c r="I434" i="1"/>
  <c r="G434" i="1"/>
  <c r="I663" i="1"/>
  <c r="J647" i="1" l="1"/>
  <c r="K552" i="1"/>
  <c r="I661" i="1"/>
  <c r="C27" i="10"/>
  <c r="C28" i="10" s="1"/>
  <c r="D23" i="10" s="1"/>
  <c r="H648" i="1"/>
  <c r="J648" i="1" s="1"/>
  <c r="C141" i="2"/>
  <c r="C144" i="2" s="1"/>
  <c r="H660" i="1"/>
  <c r="H664" i="1" s="1"/>
  <c r="E115" i="2"/>
  <c r="E145" i="2" s="1"/>
  <c r="G660" i="1"/>
  <c r="G664" i="1" s="1"/>
  <c r="G672" i="1" s="1"/>
  <c r="C5" i="10" s="1"/>
  <c r="L338" i="1"/>
  <c r="L352" i="1" s="1"/>
  <c r="G633" i="1" s="1"/>
  <c r="J633" i="1" s="1"/>
  <c r="D31" i="13"/>
  <c r="C31" i="13" s="1"/>
  <c r="L257" i="1"/>
  <c r="L271" i="1" s="1"/>
  <c r="G632" i="1" s="1"/>
  <c r="J632" i="1" s="1"/>
  <c r="F660" i="1"/>
  <c r="F664" i="1" s="1"/>
  <c r="F667" i="1" s="1"/>
  <c r="G104" i="2"/>
  <c r="G51" i="2"/>
  <c r="I193" i="1"/>
  <c r="G630" i="1" s="1"/>
  <c r="J630" i="1" s="1"/>
  <c r="E104" i="2"/>
  <c r="D104" i="2"/>
  <c r="C81" i="2"/>
  <c r="C104" i="2"/>
  <c r="L408" i="1"/>
  <c r="L545" i="1"/>
  <c r="E33" i="13"/>
  <c r="D35" i="13" s="1"/>
  <c r="C16" i="13"/>
  <c r="C128" i="2"/>
  <c r="I461" i="1"/>
  <c r="H642" i="1" s="1"/>
  <c r="J642" i="1" s="1"/>
  <c r="C36" i="10"/>
  <c r="C25" i="13"/>
  <c r="H33" i="13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C145" i="2" l="1"/>
  <c r="D33" i="13"/>
  <c r="D36" i="13" s="1"/>
  <c r="G667" i="1"/>
  <c r="D20" i="10"/>
  <c r="D25" i="10"/>
  <c r="D15" i="10"/>
  <c r="D19" i="10"/>
  <c r="D27" i="10"/>
  <c r="D18" i="10"/>
  <c r="D17" i="10"/>
  <c r="D12" i="10"/>
  <c r="D24" i="10"/>
  <c r="D10" i="10"/>
  <c r="D13" i="10"/>
  <c r="D26" i="10"/>
  <c r="D11" i="10"/>
  <c r="C30" i="10"/>
  <c r="D21" i="10"/>
  <c r="D16" i="10"/>
  <c r="D22" i="10"/>
  <c r="F672" i="1"/>
  <c r="C4" i="10" s="1"/>
  <c r="I660" i="1"/>
  <c r="I664" i="1" s="1"/>
  <c r="I672" i="1" s="1"/>
  <c r="C7" i="10" s="1"/>
  <c r="G637" i="1"/>
  <c r="J637" i="1" s="1"/>
  <c r="H646" i="1"/>
  <c r="J646" i="1" s="1"/>
  <c r="H667" i="1"/>
  <c r="H672" i="1"/>
  <c r="C6" i="10" s="1"/>
  <c r="C41" i="10"/>
  <c r="D38" i="10" s="1"/>
  <c r="H656" i="1" l="1"/>
  <c r="D28" i="10"/>
  <c r="I667" i="1"/>
  <c r="D37" i="10"/>
  <c r="D36" i="10"/>
  <c r="D35" i="10"/>
  <c r="D40" i="10"/>
  <c r="D39" i="10"/>
  <c r="D41" i="10" l="1"/>
  <c r="C13" i="12" l="1"/>
  <c r="A13" i="12" s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<sst xmlns="http://schemas.openxmlformats.org/spreadsheetml/2006/main" count="3957" uniqueCount="915">
  <si>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</si>
  <si>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</si>
  <si>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</si>
  <si>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</si>
  <si>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</si>
  <si>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</si>
  <si>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</si>
  <si>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</si>
  <si>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</si>
  <si>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</si>
  <si>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</si>
  <si>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</si>
  <si>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</si>
  <si>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</si>
  <si>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</si>
  <si>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</si>
  <si>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</si>
  <si>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</si>
  <si>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</si>
  <si>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</si>
  <si>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</si>
  <si>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</si>
  <si>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</si>
  <si>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</si>
  <si>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</si>
  <si>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</si>
  <si>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</si>
  <si>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</si>
  <si>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</si>
  <si>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</si>
  <si>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</si>
  <si>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</si>
  <si>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</si>
  <si>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</si>
  <si>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</si>
  <si>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</si>
  <si>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</si>
  <si>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</si>
  <si>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</si>
  <si>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</si>
  <si>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</si>
  <si>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</si>
  <si>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</si>
  <si>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</si>
  <si>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</si>
  <si>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</si>
  <si>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</si>
  <si>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</si>
  <si>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</si>
  <si>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</si>
  <si>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</si>
  <si>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</si>
  <si>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</si>
  <si>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</si>
  <si>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</si>
  <si>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</si>
  <si>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</si>
  <si>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</si>
  <si>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</si>
  <si>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</si>
  <si>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</si>
  <si>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</si>
  <si>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</si>
  <si>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</si>
  <si>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</si>
  <si>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</si>
  <si>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</si>
  <si>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</si>
  <si>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</si>
  <si>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</si>
  <si>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</si>
  <si>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</si>
  <si>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</si>
  <si>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</si>
  <si>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</si>
  <si>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</si>
  <si>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</si>
  <si>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</si>
  <si>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</si>
  <si>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</si>
  <si>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</si>
  <si>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</si>
  <si>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</si>
  <si>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</si>
  <si>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</si>
  <si>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</si>
  <si>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</si>
  <si>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</si>
  <si>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</si>
  <si>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</si>
  <si>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</si>
  <si>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</si>
  <si>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</si>
  <si>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</si>
  <si>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</si>
  <si>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</si>
  <si>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</si>
  <si>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</si>
  <si>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</si>
  <si>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</si>
  <si>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</si>
  <si>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</si>
  <si>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</si>
  <si>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</si>
  <si>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</si>
  <si>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</si>
  <si>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</si>
  <si>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</si>
  <si>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</si>
  <si>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</si>
  <si>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</si>
  <si>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</si>
  <si>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</si>
  <si>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</si>
  <si>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</si>
  <si>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</si>
  <si>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</si>
  <si>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</si>
  <si>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</si>
  <si>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</si>
  <si>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</si>
  <si>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</si>
  <si>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</si>
  <si>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</si>
  <si>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</si>
  <si>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</si>
  <si>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</si>
  <si>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</si>
  <si>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</si>
  <si>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</si>
  <si>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</si>
  <si>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</si>
  <si>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</si>
  <si>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</si>
  <si>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</si>
  <si>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</si>
  <si>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</si>
  <si>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</si>
  <si>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</si>
  <si>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</si>
  <si>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</si>
  <si>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</si>
  <si>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</si>
  <si>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</si>
  <si>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</si>
  <si>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</si>
  <si>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</si>
  <si>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</si>
  <si>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</si>
  <si>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</si>
  <si>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</si>
  <si>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</si>
  <si>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</si>
  <si>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</si>
  <si>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</si>
  <si>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</si>
  <si>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</si>
  <si>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</si>
  <si>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</si>
  <si>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</si>
  <si>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</si>
  <si>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</si>
  <si>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</si>
  <si>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</si>
  <si>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</si>
  <si>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</si>
  <si>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</si>
  <si>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</si>
  <si>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</si>
  <si>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</si>
  <si>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</si>
  <si>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</si>
  <si>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</si>
  <si>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</si>
  <si>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</si>
  <si>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</si>
  <si>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</si>
  <si>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</si>
  <si>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</si>
  <si>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</si>
  <si>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</si>
  <si>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</si>
  <si>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</si>
  <si>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</si>
  <si>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</si>
  <si>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</si>
  <si>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</si>
  <si>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</si>
  <si>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</si>
  <si>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</si>
  <si>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</si>
  <si>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</si>
  <si>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</si>
  <si>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</si>
  <si>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</si>
  <si>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</si>
  <si>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</si>
  <si>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</si>
  <si>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</si>
  <si>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</si>
  <si>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</si>
  <si>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</si>
  <si>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</si>
  <si>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</si>
  <si>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</si>
  <si>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</si>
  <si>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</si>
  <si>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</si>
  <si>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</si>
  <si>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</si>
  <si>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</si>
  <si>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</si>
  <si>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</si>
  <si>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</si>
  <si>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</si>
  <si>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</si>
  <si>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</si>
  <si>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</si>
  <si>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</si>
  <si>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</si>
  <si>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</si>
  <si>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</si>
  <si>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</si>
  <si>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</si>
  <si>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</si>
  <si>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</si>
  <si>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</si>
  <si>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</si>
  <si>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</si>
  <si>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</si>
  <si>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</si>
  <si>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</si>
  <si>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</si>
  <si>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</si>
  <si>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</si>
  <si>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</si>
  <si>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</si>
  <si>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</si>
  <si>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</si>
  <si>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</si>
  <si>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</si>
  <si>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</si>
  <si>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</si>
  <si>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</si>
  <si>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</si>
  <si>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</si>
  <si>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</si>
  <si>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</si>
  <si>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</si>
  <si>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</si>
  <si>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</si>
  <si>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</si>
  <si>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</si>
  <si>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</si>
  <si>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</si>
  <si>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</si>
  <si>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</si>
  <si>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</si>
  <si>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</si>
  <si>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</si>
  <si>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</si>
  <si>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</si>
  <si>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</si>
  <si>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</si>
  <si>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</si>
  <si>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</si>
  <si>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</si>
  <si>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</si>
  <si>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</si>
  <si>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</si>
  <si>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</si>
  <si>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</si>
  <si>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</si>
  <si>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</si>
  <si>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</si>
  <si>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</si>
  <si>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</si>
  <si>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</si>
  <si>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</si>
  <si>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</si>
  <si>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</si>
  <si>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</si>
  <si>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</si>
  <si>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</si>
  <si>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</si>
  <si>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</si>
  <si>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</si>
  <si>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</si>
  <si>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</si>
  <si>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</si>
  <si>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</si>
  <si>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</si>
  <si>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</si>
  <si>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</si>
  <si>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</si>
  <si>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</si>
  <si>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</si>
  <si>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</si>
  <si>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</si>
  <si>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</si>
  <si>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</si>
  <si>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</si>
  <si>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</si>
  <si>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</si>
  <si>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</si>
  <si>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</si>
  <si>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</si>
  <si>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</si>
  <si>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</si>
  <si>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</si>
  <si>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</si>
  <si>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</si>
  <si>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</si>
  <si>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</si>
  <si>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</si>
  <si>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</si>
  <si>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</si>
  <si>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</si>
  <si>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</si>
  <si>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</si>
  <si>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</si>
  <si>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</si>
  <si>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</si>
  <si>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</si>
  <si>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</si>
  <si>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</si>
  <si>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</si>
  <si>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</si>
  <si>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</si>
  <si>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</si>
  <si>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</si>
  <si>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</si>
  <si>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</si>
  <si>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</si>
  <si>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</si>
  <si>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</si>
  <si>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</si>
  <si>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</si>
  <si>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</si>
  <si>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</si>
  <si>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</si>
  <si>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</si>
  <si>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</si>
  <si>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</si>
  <si>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</si>
  <si>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</si>
  <si>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</si>
  <si>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</si>
  <si>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</si>
  <si>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</si>
  <si>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</si>
  <si>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</si>
  <si>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</si>
  <si>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</si>
  <si>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</si>
  <si>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</si>
  <si>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</si>
  <si>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</si>
  <si>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</si>
  <si>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</si>
  <si>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</si>
  <si>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</si>
  <si>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</si>
  <si>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</si>
  <si>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</si>
  <si>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</si>
  <si>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</si>
  <si>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</si>
  <si>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</si>
  <si>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</si>
  <si>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</si>
  <si>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</si>
  <si>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</si>
  <si>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</si>
  <si>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</si>
  <si>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</si>
  <si>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</si>
  <si>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</si>
  <si>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</si>
  <si>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</si>
  <si>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</si>
  <si>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</si>
  <si>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</si>
  <si>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</si>
  <si>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</si>
  <si>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</si>
  <si>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</si>
  <si>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</si>
  <si>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</si>
  <si>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</si>
  <si>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</si>
  <si>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</si>
  <si>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</si>
  <si>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</si>
  <si>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</si>
  <si>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</si>
  <si>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</si>
  <si>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</si>
  <si>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</si>
  <si>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</si>
  <si>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</si>
  <si>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</si>
  <si>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</si>
  <si>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</si>
  <si>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</si>
  <si>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</si>
  <si>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</si>
  <si>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</si>
  <si>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</si>
  <si>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</si>
  <si>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</si>
  <si>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</si>
  <si>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</si>
  <si>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</si>
  <si>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</si>
  <si>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</si>
  <si>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</si>
  <si>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</si>
  <si>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</si>
  <si>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</si>
  <si>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</si>
  <si>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</si>
  <si>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</si>
  <si>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</si>
  <si>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</si>
  <si>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</si>
  <si>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</si>
  <si>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</si>
  <si>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</si>
  <si>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</si>
  <si>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</si>
  <si>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</si>
  <si>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</si>
  <si>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</si>
  <si>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</si>
  <si>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</si>
  <si>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</si>
  <si>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</si>
  <si>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</si>
  <si>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</si>
  <si>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</si>
  <si>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</si>
  <si>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</si>
  <si>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</si>
  <si>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</si>
  <si>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</si>
  <si>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</si>
  <si>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</si>
  <si>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</si>
  <si>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</si>
  <si>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</si>
  <si>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</si>
  <si>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</si>
  <si>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</si>
  <si>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</si>
  <si>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</si>
  <si>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</si>
  <si>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</si>
  <si>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</si>
  <si>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</si>
  <si>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</si>
  <si>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</si>
  <si>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</si>
  <si>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</si>
  <si>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</si>
  <si>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</si>
  <si>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</si>
  <si>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</si>
  <si>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</si>
  <si>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</si>
  <si>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</si>
  <si>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</si>
  <si>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</si>
  <si>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</si>
  <si>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</si>
  <si>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</si>
  <si>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</si>
  <si>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</si>
  <si>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</si>
  <si>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</si>
  <si>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</si>
  <si>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</si>
  <si>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</si>
  <si>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</si>
  <si>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</si>
  <si>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</si>
  <si>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</si>
  <si>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</si>
  <si>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</si>
  <si>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</si>
  <si>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</si>
  <si>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</si>
  <si>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</si>
  <si>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</si>
  <si>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</si>
  <si>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</si>
  <si>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</si>
  <si>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</si>
  <si>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</si>
  <si>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</si>
  <si>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</si>
  <si>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</si>
  <si>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</si>
  <si>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</si>
  <si>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</si>
  <si>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</si>
  <si>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</si>
  <si>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</si>
  <si>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</si>
  <si>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</si>
  <si>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</si>
  <si>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</si>
  <si>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</si>
  <si>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</si>
  <si>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</si>
  <si>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</si>
  <si>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</si>
  <si>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</si>
  <si>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</si>
  <si>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</si>
  <si>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</si>
  <si>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</si>
  <si>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</si>
  <si>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</si>
  <si>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</si>
  <si>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</si>
  <si>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</si>
  <si>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</si>
  <si>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</si>
  <si>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</si>
  <si>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</si>
  <si>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</si>
  <si>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</si>
  <si>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</si>
  <si>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</si>
  <si>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</si>
  <si>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</si>
  <si>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</si>
  <si>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</si>
  <si>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</si>
  <si>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</si>
  <si>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</si>
  <si>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</si>
  <si>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</si>
  <si>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</si>
  <si>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</si>
  <si>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</si>
  <si>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</si>
  <si>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</si>
  <si>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</si>
  <si>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</si>
  <si>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</si>
  <si>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</si>
  <si>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</si>
  <si>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</si>
  <si>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</si>
  <si>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</si>
  <si>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</si>
  <si>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</si>
  <si>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</si>
  <si>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</si>
  <si>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</si>
  <si>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</si>
  <si>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</si>
  <si>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</si>
  <si>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</si>
  <si>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</si>
  <si>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</si>
  <si>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</si>
  <si>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</si>
  <si>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</si>
  <si>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</si>
  <si>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</si>
  <si>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</si>
  <si>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</si>
  <si>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</si>
  <si>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</si>
  <si>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</si>
  <si>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</si>
  <si>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</si>
  <si>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</si>
  <si>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</si>
  <si>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</si>
  <si>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</si>
  <si>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</si>
  <si>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</si>
  <si>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</si>
  <si>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</si>
  <si>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</si>
  <si>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</si>
  <si>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</si>
  <si>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</si>
  <si>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</si>
  <si>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</si>
  <si>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</si>
  <si>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</si>
  <si>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</si>
  <si>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</si>
  <si>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</si>
  <si>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</si>
  <si>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</si>
  <si>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</si>
  <si>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</si>
  <si>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</si>
  <si>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</si>
  <si>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</si>
  <si>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</si>
  <si>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</si>
  <si>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</si>
  <si>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</si>
  <si>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</si>
  <si>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</si>
  <si>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</si>
  <si>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</si>
  <si>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</si>
  <si>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</si>
  <si>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</si>
  <si>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</si>
  <si>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</si>
  <si>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</si>
  <si>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</si>
  <si>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</si>
  <si>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</si>
  <si>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</si>
  <si>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</si>
  <si>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</si>
  <si>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</si>
  <si>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</si>
  <si>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</si>
  <si>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</si>
  <si>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</si>
  <si>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</si>
  <si>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</si>
  <si>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</si>
  <si>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</si>
  <si>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</si>
  <si>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</si>
  <si>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</si>
  <si>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</si>
  <si>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</si>
  <si>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</si>
  <si>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</si>
  <si>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</si>
  <si>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</si>
  <si>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</si>
  <si>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</si>
  <si>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</si>
  <si>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</si>
  <si>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</si>
  <si>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</si>
  <si>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</si>
  <si>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</si>
  <si>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</si>
  <si>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</si>
  <si>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</si>
  <si>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</si>
  <si>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</si>
  <si>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</si>
  <si>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</si>
  <si>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</si>
  <si>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</si>
  <si>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</si>
  <si>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</si>
  <si>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</si>
  <si>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</si>
  <si>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</si>
  <si>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</si>
  <si>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</si>
  <si>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</si>
  <si>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</si>
  <si>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</si>
  <si>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</si>
  <si>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</si>
  <si>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</si>
  <si>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</si>
  <si>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</si>
  <si>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</si>
  <si>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</si>
  <si>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</si>
  <si>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</si>
  <si>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</si>
  <si>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</si>
  <si>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</si>
  <si>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</si>
  <si>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</si>
  <si>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</si>
  <si>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</si>
  <si>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</si>
  <si>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</si>
  <si>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</si>
  <si>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</si>
  <si>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</si>
  <si>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</si>
  <si>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</si>
  <si>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</si>
  <si>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</si>
  <si>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</si>
  <si>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</si>
  <si>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</si>
  <si>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</si>
  <si>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</si>
  <si>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</si>
  <si>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</si>
  <si>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</si>
  <si>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</si>
  <si>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</si>
  <si>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</si>
  <si>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</si>
  <si>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</si>
  <si>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</si>
  <si>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</si>
  <si>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</si>
  <si>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</si>
  <si>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</si>
  <si>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</si>
  <si>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</si>
  <si>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</si>
  <si>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</si>
  <si>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</si>
  <si>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</si>
  <si>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</si>
  <si>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</si>
  <si>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</si>
  <si>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</si>
  <si>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</si>
  <si>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</si>
  <si>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</si>
  <si>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</si>
  <si>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</si>
  <si>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</si>
  <si>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</si>
  <si>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</si>
  <si>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</si>
  <si>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</si>
  <si>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</si>
  <si>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</si>
  <si>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</si>
  <si>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</si>
  <si>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</si>
  <si>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</si>
  <si>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</si>
  <si>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</si>
  <si>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</si>
  <si>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</si>
  <si>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</si>
  <si>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</si>
  <si>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</si>
  <si>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</si>
  <si>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</si>
  <si>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</si>
  <si>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</si>
  <si>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</si>
  <si>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</si>
  <si>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</si>
  <si>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</si>
  <si>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</si>
  <si>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</si>
  <si>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</si>
  <si>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</si>
  <si>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</si>
  <si>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</si>
  <si>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</si>
  <si>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</si>
  <si>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</si>
  <si>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</si>
  <si>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</si>
  <si>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</si>
  <si>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</si>
  <si>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</si>
  <si>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</si>
  <si>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</si>
  <si>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</si>
  <si>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</si>
  <si>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</si>
  <si>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</si>
  <si>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</si>
  <si>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</si>
  <si>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</si>
  <si>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</si>
  <si>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</si>
  <si>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</si>
  <si>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</si>
  <si>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</si>
  <si>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</si>
  <si>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</si>
  <si>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</si>
  <si>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</si>
  <si>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</si>
  <si>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</si>
  <si>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</si>
  <si>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</si>
  <si>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</si>
  <si>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</si>
  <si>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</si>
  <si>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</si>
  <si>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</si>
  <si>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</si>
  <si>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</si>
  <si>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</si>
  <si>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</si>
  <si>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</si>
  <si>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</si>
  <si>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</si>
  <si>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</si>
  <si>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</si>
  <si>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</si>
  <si>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</si>
  <si>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</si>
  <si>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</si>
  <si>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</si>
  <si>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</si>
  <si>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</si>
  <si>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</si>
  <si>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</si>
  <si>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</si>
  <si>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</si>
  <si>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</si>
  <si>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</si>
  <si>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</si>
  <si>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</si>
  <si>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</si>
  <si>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</si>
  <si>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</si>
  <si>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</si>
  <si>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</si>
  <si>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</si>
  <si>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</si>
  <si>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</si>
  <si>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</si>
  <si>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</si>
  <si>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</si>
  <si>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</si>
  <si>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</si>
  <si>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</si>
  <si>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</si>
  <si>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</si>
  <si>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</si>
  <si>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</si>
  <si>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</si>
  <si>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</si>
  <si>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</si>
  <si>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</si>
  <si>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</si>
  <si>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</si>
  <si>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</si>
  <si>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</si>
  <si>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</si>
  <si>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</si>
  <si>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</si>
  <si>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</si>
  <si>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</si>
  <si>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</si>
  <si>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</si>
  <si>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</si>
  <si>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</si>
  <si>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</si>
  <si>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</si>
  <si>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</si>
  <si>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</si>
  <si>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</si>
  <si>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</si>
  <si>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</si>
  <si>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</si>
  <si>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</si>
  <si>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</si>
  <si>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</si>
  <si>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</si>
  <si>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</si>
  <si>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</si>
  <si>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</si>
  <si>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</si>
  <si>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</si>
  <si>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</si>
  <si>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</si>
  <si>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</si>
  <si>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</si>
  <si>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</si>
  <si>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</si>
  <si>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</si>
  <si>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</si>
  <si>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</si>
  <si>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</si>
  <si>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</si>
  <si>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</si>
  <si>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</si>
  <si>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</si>
  <si>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</si>
  <si>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</si>
  <si>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</si>
  <si>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</si>
  <si>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</si>
  <si>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</si>
  <si>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</si>
  <si>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</si>
  <si>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</si>
  <si>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</si>
  <si>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</si>
  <si>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</si>
  <si>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</si>
  <si>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</si>
  <si>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</si>
  <si>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</si>
  <si>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</si>
  <si>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</si>
  <si>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</si>
  <si>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</si>
  <si>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</si>
  <si>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</si>
  <si>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</si>
  <si>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</si>
  <si>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</si>
  <si>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04/40</t>
  </si>
  <si>
    <t>11/91 - 12/10</t>
  </si>
  <si>
    <t>See attached page for details</t>
  </si>
  <si>
    <t>Concord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</si>
</sst>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914</v>
      </c>
      <c r="B2" s="21">
        <v>111</v>
      </c>
      <c r="C2" s="21">
        <v>111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1184934.3899999999</v>
      </c>
      <c r="G9" s="18">
        <v>-14861.48</v>
      </c>
      <c r="H9" s="18">
        <v>-200340.99</v>
      </c>
      <c r="I9" s="18">
        <v>191166.04</v>
      </c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>
        <v>30359.54</v>
      </c>
      <c r="I10" s="18">
        <v>907269.13</v>
      </c>
      <c r="J10" s="67">
        <f>SUM(I440)</f>
        <v>3985246.8499999996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97101043.769999996</v>
      </c>
      <c r="G12" s="18">
        <v>6882585.1399999997</v>
      </c>
      <c r="H12" s="18">
        <v>25806360.350000001</v>
      </c>
      <c r="I12" s="18">
        <v>64883514.369999997</v>
      </c>
      <c r="J12" s="67">
        <f>SUM(I441)</f>
        <v>-1703884.8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1029549.57</v>
      </c>
      <c r="G14" s="18">
        <v>410448.52</v>
      </c>
      <c r="H14" s="18">
        <v>823093.81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19481.61</v>
      </c>
      <c r="G16" s="18">
        <v>62268.92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96300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99431309.339999989</v>
      </c>
      <c r="G19" s="41">
        <f>SUM(G9:G18)</f>
        <v>7340441.0999999996</v>
      </c>
      <c r="H19" s="41">
        <f>SUM(H9:H18)</f>
        <v>26459472.710000001</v>
      </c>
      <c r="I19" s="41">
        <f>SUM(I9:I18)</f>
        <v>65981949.539999999</v>
      </c>
      <c r="J19" s="41">
        <f>SUM(J9:J18)</f>
        <v>2281362.0499999998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96155279.540000007</v>
      </c>
      <c r="G22" s="18">
        <v>7286741.8200000003</v>
      </c>
      <c r="H22" s="18">
        <v>26173738.710000001</v>
      </c>
      <c r="I22" s="18">
        <v>65080353.359999999</v>
      </c>
      <c r="J22" s="67">
        <f>SUM(I448)</f>
        <v>-1726514.25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1667.08</v>
      </c>
      <c r="G24" s="18">
        <v>0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382806.5</v>
      </c>
      <c r="G28" s="18">
        <v>23837.99</v>
      </c>
      <c r="H28" s="18">
        <v>9862.2900000000009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217987.24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17328.150000000001</v>
      </c>
      <c r="G30" s="18">
        <v>28148.14</v>
      </c>
      <c r="H30" s="18">
        <v>10218.31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96775068.510000005</v>
      </c>
      <c r="G32" s="41">
        <f>SUM(G22:G31)</f>
        <v>7338727.9500000002</v>
      </c>
      <c r="H32" s="41">
        <f>SUM(H22:H31)</f>
        <v>26193819.309999999</v>
      </c>
      <c r="I32" s="41">
        <f>SUM(I22:I31)</f>
        <v>65080353.359999999</v>
      </c>
      <c r="J32" s="41">
        <f>SUM(J22:J31)</f>
        <v>-1726514.25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409512.38</v>
      </c>
      <c r="G45" s="18">
        <v>3213.15</v>
      </c>
      <c r="H45" s="18">
        <v>374405.95</v>
      </c>
      <c r="I45" s="18">
        <v>27654.32</v>
      </c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19481.61</v>
      </c>
      <c r="G48" s="18">
        <v>-1500</v>
      </c>
      <c r="H48" s="18">
        <f>118576.67-9970232.98+8008196.59+1734707.17</f>
        <v>-108752.55000000075</v>
      </c>
      <c r="I48" s="18">
        <f>7813323.17+192366533.74-199146761.78-159153.27</f>
        <v>873941.85999999521</v>
      </c>
      <c r="J48" s="13">
        <f>SUM(I459)</f>
        <v>4004817.3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3059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2227246.84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2656240.83</v>
      </c>
      <c r="G51" s="41">
        <f>SUM(G35:G50)</f>
        <v>1713.15</v>
      </c>
      <c r="H51" s="41">
        <f>SUM(H35:H50)</f>
        <v>265653.39999999927</v>
      </c>
      <c r="I51" s="41">
        <f>SUM(I35:I50)</f>
        <v>901596.17999999516</v>
      </c>
      <c r="J51" s="41">
        <f>SUM(J35:J50)</f>
        <v>4007876.3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99431309.340000004</v>
      </c>
      <c r="G52" s="41">
        <f>G51+G32</f>
        <v>7340441.1000000006</v>
      </c>
      <c r="H52" s="41">
        <f>H51+H32</f>
        <v>26459472.709999997</v>
      </c>
      <c r="I52" s="41">
        <f>I51+I32</f>
        <v>65981949.539999992</v>
      </c>
      <c r="J52" s="41">
        <f>J51+J32</f>
        <v>2281362.0499999998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39493723+100276.2</f>
        <v>39593999.200000003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39593999.200000003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f>129480+81636.6</f>
        <v>211116.6</v>
      </c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15655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101379.05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2377203.54</v>
      </c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f>513325.68+8624.99</f>
        <v>521950.67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681997.19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3909302.05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8870</v>
      </c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20354.41</v>
      </c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204846.9</v>
      </c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234071.31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2328.4699999999998</v>
      </c>
      <c r="G96" s="18">
        <v>14.5</v>
      </c>
      <c r="H96" s="18">
        <v>42.03</v>
      </c>
      <c r="I96" s="18">
        <v>1601.3</v>
      </c>
      <c r="J96" s="18">
        <f>3936.39+352.63</f>
        <v>4289.0199999999995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305432.45+17907.7+9014.5+182597.2+10533.41</f>
        <v>525485.26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f>15055.5+102675+3129</f>
        <v>120859.5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f>143193.42</f>
        <v>143193.42000000001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78294.720000000001</v>
      </c>
      <c r="I102" s="18"/>
      <c r="J102" s="18">
        <v>31527</v>
      </c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2865.12</v>
      </c>
      <c r="G109" s="18">
        <v>306.98</v>
      </c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129858.87</v>
      </c>
      <c r="G110" s="18">
        <v>4366.2700000000004</v>
      </c>
      <c r="H110" s="18">
        <v>6745.47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399105.38</v>
      </c>
      <c r="G111" s="41">
        <f>SUM(G96:G110)</f>
        <v>530173.01</v>
      </c>
      <c r="H111" s="41">
        <f>SUM(H96:H110)</f>
        <v>85082.22</v>
      </c>
      <c r="I111" s="41">
        <f>SUM(I96:I110)</f>
        <v>1601.3</v>
      </c>
      <c r="J111" s="41">
        <f>SUM(J96:J110)</f>
        <v>35816.019999999997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44136477.940000005</v>
      </c>
      <c r="G112" s="41">
        <f>G60+G111</f>
        <v>530173.01</v>
      </c>
      <c r="H112" s="41">
        <f>H60+H79+H94+H111</f>
        <v>85082.22</v>
      </c>
      <c r="I112" s="41">
        <f>I60+I111</f>
        <v>1601.3</v>
      </c>
      <c r="J112" s="41">
        <f>J60+J111</f>
        <v>35816.019999999997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12647490.800000001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8607574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30695.09</v>
      </c>
      <c r="G120" s="18"/>
      <c r="H120" s="18">
        <v>7000</v>
      </c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21285759.890000001</v>
      </c>
      <c r="G121" s="41">
        <f>SUM(G117:G120)</f>
        <v>0</v>
      </c>
      <c r="H121" s="41">
        <f>SUM(H117:H120)</f>
        <v>7000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1383508.27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351548.34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1027863.73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>
        <v>49000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22059.26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161339.31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2762920.34</v>
      </c>
      <c r="G136" s="41">
        <f>SUM(G123:G135)</f>
        <v>22059.26</v>
      </c>
      <c r="H136" s="41">
        <f>SUM(H123:H135)</f>
        <v>210339.31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24048680.23</v>
      </c>
      <c r="G140" s="41">
        <f>G121+SUM(G136:G137)</f>
        <v>22059.26</v>
      </c>
      <c r="H140" s="41">
        <f>H121+SUM(H136:H139)</f>
        <v>217339.31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862223.11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862223.11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1346494.04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819769.9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353043.45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16629.060000000001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889842.46+83818.99</f>
        <v>973661.45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1171411.3700000001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1249909.06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44288.1</v>
      </c>
      <c r="G161" s="18"/>
      <c r="H161" s="18">
        <v>367888.87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1294197.1600000001</v>
      </c>
      <c r="G162" s="41">
        <f>SUM(G150:G161)</f>
        <v>973661.45</v>
      </c>
      <c r="H162" s="41">
        <f>SUM(H150:H161)</f>
        <v>4075236.6900000004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2156420.27</v>
      </c>
      <c r="G169" s="41">
        <f>G147+G162+SUM(G163:G168)</f>
        <v>973661.45</v>
      </c>
      <c r="H169" s="41">
        <f>H147+H162+SUM(H163:H168)</f>
        <v>4075236.6900000004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252517.56</v>
      </c>
      <c r="H179" s="18"/>
      <c r="I179" s="18"/>
      <c r="J179" s="18">
        <v>237782.16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119227.57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119227.57</v>
      </c>
      <c r="G183" s="41">
        <f>SUM(G179:G182)</f>
        <v>252517.56</v>
      </c>
      <c r="H183" s="41">
        <f>SUM(H179:H182)</f>
        <v>0</v>
      </c>
      <c r="I183" s="41">
        <f>SUM(I179:I182)</f>
        <v>0</v>
      </c>
      <c r="J183" s="41">
        <f>SUM(J179:J182)</f>
        <v>237782.16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1228562</v>
      </c>
      <c r="G186" s="18"/>
      <c r="H186" s="18"/>
      <c r="I186" s="18">
        <v>90809.89</v>
      </c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1228562</v>
      </c>
      <c r="G188" s="41">
        <f>SUM(G185:G187)</f>
        <v>0</v>
      </c>
      <c r="H188" s="41">
        <f>SUM(H185:H187)</f>
        <v>0</v>
      </c>
      <c r="I188" s="41">
        <f>SUM(I185:I187)</f>
        <v>90809.89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>
        <v>593535</v>
      </c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1347789.57</v>
      </c>
      <c r="G192" s="41">
        <f>G183+SUM(G188:G191)</f>
        <v>252517.56</v>
      </c>
      <c r="H192" s="41">
        <f>+H183+SUM(H188:H191)</f>
        <v>593535</v>
      </c>
      <c r="I192" s="41">
        <f>I177+I183+SUM(I188:I191)</f>
        <v>90809.89</v>
      </c>
      <c r="J192" s="41">
        <f>J183</f>
        <v>237782.16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71689368.00999999</v>
      </c>
      <c r="G193" s="47">
        <f>G112+G140+G169+G192</f>
        <v>1778411.28</v>
      </c>
      <c r="H193" s="47">
        <f>H112+H140+H169+H192</f>
        <v>4971193.2200000007</v>
      </c>
      <c r="I193" s="47">
        <f>I112+I140+I169+I192</f>
        <v>92411.19</v>
      </c>
      <c r="J193" s="47">
        <f>J112+J140+J192</f>
        <v>273598.18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7597170.21+10395.12+175554.32</f>
        <v>7783119.6500000004</v>
      </c>
      <c r="G197" s="18">
        <f>3047017.39+1635.96+92057.06</f>
        <v>3140710.41</v>
      </c>
      <c r="H197" s="18">
        <f>106048.21+855.3</f>
        <v>106903.51000000001</v>
      </c>
      <c r="I197" s="18">
        <f>241260.2+4408</f>
        <v>245668.2</v>
      </c>
      <c r="J197" s="18">
        <f>6879.01</f>
        <v>6879.01</v>
      </c>
      <c r="K197" s="18">
        <f>149</f>
        <v>149</v>
      </c>
      <c r="L197" s="19">
        <f>SUM(F197:K197)</f>
        <v>11283429.779999999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1936188.88+1028487.13+239938.37+20163.91</f>
        <v>3224778.29</v>
      </c>
      <c r="G198" s="18">
        <f>613562.68+347949.7+64342.65+1764.24+38843.69</f>
        <v>1066462.9600000002</v>
      </c>
      <c r="H198" s="18">
        <f>77774.35+421353.5+7064.8+44394.29</f>
        <v>550586.93999999994</v>
      </c>
      <c r="I198" s="18">
        <f>6378.12+4446.32+1046.31+2236.63</f>
        <v>14107.379999999997</v>
      </c>
      <c r="J198" s="18">
        <f>836.24</f>
        <v>836.24</v>
      </c>
      <c r="K198" s="18"/>
      <c r="L198" s="19">
        <f>SUM(F198:K198)</f>
        <v>4856771.8099999996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f>9015+60152.69</f>
        <v>69167.69</v>
      </c>
      <c r="G200" s="18">
        <f>1922.78+25232.86+124.23</f>
        <v>27279.87</v>
      </c>
      <c r="H200" s="18"/>
      <c r="I200" s="18"/>
      <c r="J200" s="18"/>
      <c r="K200" s="18"/>
      <c r="L200" s="19">
        <f>SUM(F200:K200)</f>
        <v>96447.56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364312.2+294700.4+182312.68+693201.88+237772.67+57774.99</f>
        <v>1830074.82</v>
      </c>
      <c r="G202" s="18">
        <f>148173.32+139630.64+65079.67+238409.73+82004.56+15069.8+21492.41</f>
        <v>709860.13</v>
      </c>
      <c r="H202" s="18">
        <f>13202+143750.02+25150.36</f>
        <v>182102.38</v>
      </c>
      <c r="I202" s="18">
        <f>1006.42+6317.9+6911.46+5467.63</f>
        <v>19703.41</v>
      </c>
      <c r="J202" s="18">
        <f>2450.08</f>
        <v>2450.08</v>
      </c>
      <c r="K202" s="18"/>
      <c r="L202" s="19">
        <f t="shared" ref="L202:L208" si="0">SUM(F202:K202)</f>
        <v>2744190.8200000003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340754.68+929.52+123370.46+222180.38</f>
        <v>687235.04</v>
      </c>
      <c r="G203" s="18">
        <f>127962.68+36688.47+149743.58+5631.92</f>
        <v>320026.64999999997</v>
      </c>
      <c r="H203" s="18">
        <f>3343.79+300169.46</f>
        <v>303513.25</v>
      </c>
      <c r="I203" s="18">
        <f>14219.32+5120.46+103047.83</f>
        <v>122387.61</v>
      </c>
      <c r="J203" s="18">
        <f>634.45+13814.39</f>
        <v>14448.84</v>
      </c>
      <c r="K203" s="18">
        <f>591.22</f>
        <v>591.22</v>
      </c>
      <c r="L203" s="19">
        <f t="shared" si="0"/>
        <v>1448202.61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211791.11</f>
        <v>211791.11</v>
      </c>
      <c r="G204" s="18">
        <f>75000.49</f>
        <v>75000.490000000005</v>
      </c>
      <c r="H204" s="18">
        <f>88454.92</f>
        <v>88454.92</v>
      </c>
      <c r="I204" s="18">
        <f>12472.92</f>
        <v>12472.92</v>
      </c>
      <c r="J204" s="18">
        <f>0.44</f>
        <v>0.44</v>
      </c>
      <c r="K204" s="18">
        <f>4716.96</f>
        <v>4716.96</v>
      </c>
      <c r="L204" s="19">
        <f t="shared" si="0"/>
        <v>392436.83999999997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f>743978.95</f>
        <v>743978.95</v>
      </c>
      <c r="G205" s="18">
        <f>311991.04+9027.64</f>
        <v>321018.68</v>
      </c>
      <c r="H205" s="18">
        <f>8674.99</f>
        <v>8674.99</v>
      </c>
      <c r="I205" s="18">
        <f>2123.26</f>
        <v>2123.2600000000002</v>
      </c>
      <c r="J205" s="18"/>
      <c r="K205" s="18">
        <f>4767</f>
        <v>4767</v>
      </c>
      <c r="L205" s="19">
        <f t="shared" si="0"/>
        <v>1080562.8799999999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f>204869.87</f>
        <v>204869.87</v>
      </c>
      <c r="G206" s="18">
        <f>81730.39</f>
        <v>81730.39</v>
      </c>
      <c r="H206" s="18">
        <f>5634.47</f>
        <v>5634.47</v>
      </c>
      <c r="I206" s="18">
        <f>41.79</f>
        <v>41.79</v>
      </c>
      <c r="J206" s="18">
        <f>476.3</f>
        <v>476.3</v>
      </c>
      <c r="K206" s="18">
        <f>1033.1</f>
        <v>1033.0999999999999</v>
      </c>
      <c r="L206" s="19">
        <f t="shared" si="0"/>
        <v>293785.91999999993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f>563908.11+177386.3</f>
        <v>741294.40999999992</v>
      </c>
      <c r="G207" s="18">
        <f>261735.69+79935.75+6832.85</f>
        <v>348504.29</v>
      </c>
      <c r="H207" s="18">
        <f>1910.26+313868.78+223870.96</f>
        <v>539650</v>
      </c>
      <c r="I207" s="18">
        <f>37454.86+581956.52+32631.29</f>
        <v>652042.67000000004</v>
      </c>
      <c r="J207" s="18">
        <f>13409.97+29219.74</f>
        <v>42629.71</v>
      </c>
      <c r="K207" s="18">
        <f>46.24</f>
        <v>46.24</v>
      </c>
      <c r="L207" s="19">
        <f t="shared" si="0"/>
        <v>2324167.3200000003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f>630188.35</f>
        <v>630188.35</v>
      </c>
      <c r="G208" s="18">
        <f>186152.02</f>
        <v>186152.02</v>
      </c>
      <c r="H208" s="18">
        <f>1747.23+24419.52+246927.18</f>
        <v>273093.93</v>
      </c>
      <c r="I208" s="18">
        <f>141290.88</f>
        <v>141290.88</v>
      </c>
      <c r="J208" s="18">
        <f>3758.7</f>
        <v>3758.7</v>
      </c>
      <c r="K208" s="18">
        <f>964.91</f>
        <v>964.91</v>
      </c>
      <c r="L208" s="19">
        <f t="shared" si="0"/>
        <v>1235448.79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f>131138.66</f>
        <v>131138.66</v>
      </c>
      <c r="G209" s="18">
        <f>56894.54</f>
        <v>56894.54</v>
      </c>
      <c r="H209" s="18">
        <f>31348.87</f>
        <v>31348.87</v>
      </c>
      <c r="I209" s="18">
        <f>2278.68</f>
        <v>2278.6799999999998</v>
      </c>
      <c r="J209" s="18"/>
      <c r="K209" s="18"/>
      <c r="L209" s="19">
        <f>SUM(F209:K209)</f>
        <v>221660.75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16257636.84</v>
      </c>
      <c r="G211" s="41">
        <f t="shared" si="1"/>
        <v>6333640.4299999997</v>
      </c>
      <c r="H211" s="41">
        <f t="shared" si="1"/>
        <v>2089963.26</v>
      </c>
      <c r="I211" s="41">
        <f t="shared" si="1"/>
        <v>1212116.8</v>
      </c>
      <c r="J211" s="41">
        <f t="shared" si="1"/>
        <v>71479.319999999992</v>
      </c>
      <c r="K211" s="41">
        <f t="shared" si="1"/>
        <v>12268.43</v>
      </c>
      <c r="L211" s="41">
        <f t="shared" si="1"/>
        <v>25977105.079999998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f>4268778.41+5051.35+88278.51</f>
        <v>4362108.2699999996</v>
      </c>
      <c r="G215" s="18">
        <f>1643853.4+794.97+51722.57</f>
        <v>1696370.94</v>
      </c>
      <c r="H215" s="18">
        <f>42820.95+415.62</f>
        <v>43236.57</v>
      </c>
      <c r="I215" s="18">
        <f>76915.76+2142</f>
        <v>79057.759999999995</v>
      </c>
      <c r="J215" s="18">
        <f>4744.04</f>
        <v>4744.04</v>
      </c>
      <c r="K215" s="18">
        <f>113</f>
        <v>113</v>
      </c>
      <c r="L215" s="19">
        <f>SUM(F215:K215)</f>
        <v>6185630.5799999991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f>566334.35+579686.58+139292.02+10207</f>
        <v>1295519.95</v>
      </c>
      <c r="G216" s="18">
        <f>140585.29+247188.39+42913.44+893.06+15570.61</f>
        <v>447150.79000000004</v>
      </c>
      <c r="H216" s="18">
        <f>589250.6+67846.5+1220.38+22472.47</f>
        <v>680789.95</v>
      </c>
      <c r="I216" s="18">
        <f>2317.27+1044+1132.18</f>
        <v>4493.45</v>
      </c>
      <c r="J216" s="18">
        <f>423.31</f>
        <v>423.31</v>
      </c>
      <c r="K216" s="18"/>
      <c r="L216" s="19">
        <f>SUM(F216:K216)</f>
        <v>2428377.4500000002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f>12475+66408+29230.28</f>
        <v>108113.28</v>
      </c>
      <c r="G218" s="18">
        <f>2105.61+11643.75+12261.52+952.46</f>
        <v>26963.34</v>
      </c>
      <c r="H218" s="18">
        <f>15237.7</f>
        <v>15237.7</v>
      </c>
      <c r="I218" s="18">
        <f>4821.14</f>
        <v>4821.1400000000003</v>
      </c>
      <c r="J218" s="18">
        <f>2395.26</f>
        <v>2395.2600000000002</v>
      </c>
      <c r="K218" s="18">
        <f>3193.5</f>
        <v>3193.5</v>
      </c>
      <c r="L218" s="19">
        <f>SUM(F218:K218)</f>
        <v>160724.22000000003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f>269180.96+57446.4+63528.7+73216.67+27965.6+29245.8</f>
        <v>520584.13</v>
      </c>
      <c r="G220" s="18">
        <f>94018.02+32059.63+32772.51+26302.73+2139.54+7628.36+5963.21</f>
        <v>200884</v>
      </c>
      <c r="H220" s="18">
        <f>8444.56+10600.11+12681.98</f>
        <v>31726.649999999998</v>
      </c>
      <c r="I220" s="18">
        <f>299+1997.57+2767.17</f>
        <v>5063.74</v>
      </c>
      <c r="J220" s="18">
        <f>1240.23</f>
        <v>1240.23</v>
      </c>
      <c r="K220" s="18"/>
      <c r="L220" s="19">
        <f t="shared" ref="L220:L226" si="2">SUM(F220:K220)</f>
        <v>759498.75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f>15642+203686.92+104128.94</f>
        <v>323457.86</v>
      </c>
      <c r="G221" s="18">
        <f>3411.52+75834.3+67515.28+2650.32</f>
        <v>149411.42000000001</v>
      </c>
      <c r="H221" s="18">
        <f>215.5+1122.01+145115.44</f>
        <v>146452.95000000001</v>
      </c>
      <c r="I221" s="18">
        <f>12828.92+941.62+3121.57+49791.23</f>
        <v>66683.34</v>
      </c>
      <c r="J221" s="18">
        <f>6710.46</f>
        <v>6710.46</v>
      </c>
      <c r="K221" s="18">
        <f>280.82</f>
        <v>280.82</v>
      </c>
      <c r="L221" s="19">
        <f t="shared" si="2"/>
        <v>692996.84999999986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f>102916.64</f>
        <v>102916.64</v>
      </c>
      <c r="G222" s="18">
        <f>36445.34</f>
        <v>36445.339999999997</v>
      </c>
      <c r="H222" s="18">
        <f>42983.31</f>
        <v>42983.31</v>
      </c>
      <c r="I222" s="18">
        <f>6061.03</f>
        <v>6061.03</v>
      </c>
      <c r="J222" s="18">
        <f>0.21</f>
        <v>0.21</v>
      </c>
      <c r="K222" s="18">
        <f>2292.13</f>
        <v>2292.13</v>
      </c>
      <c r="L222" s="19">
        <f t="shared" si="2"/>
        <v>190698.65999999997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f>618083.05</f>
        <v>618083.05000000005</v>
      </c>
      <c r="G223" s="18">
        <f>261755.79+7495.43</f>
        <v>269251.22000000003</v>
      </c>
      <c r="H223" s="18">
        <f>11558.9</f>
        <v>11558.9</v>
      </c>
      <c r="I223" s="18">
        <f>8783.85</f>
        <v>8783.85</v>
      </c>
      <c r="J223" s="18"/>
      <c r="K223" s="18">
        <f>3417</f>
        <v>3417</v>
      </c>
      <c r="L223" s="19">
        <f t="shared" si="2"/>
        <v>911094.02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f>87918.12</f>
        <v>87918.12</v>
      </c>
      <c r="G224" s="18">
        <f>35073.88</f>
        <v>35073.879999999997</v>
      </c>
      <c r="H224" s="18">
        <f>2417.99</f>
        <v>2417.9899999999998</v>
      </c>
      <c r="I224" s="18">
        <f>17.93</f>
        <v>17.93</v>
      </c>
      <c r="J224" s="18">
        <f>204.4</f>
        <v>204.4</v>
      </c>
      <c r="K224" s="18">
        <f>443.34</f>
        <v>443.34</v>
      </c>
      <c r="L224" s="19">
        <f t="shared" si="2"/>
        <v>126075.65999999999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f>259535.73+93420.33</f>
        <v>352956.06</v>
      </c>
      <c r="G225" s="18">
        <f>129157+42098.09+3147.25</f>
        <v>174402.34</v>
      </c>
      <c r="H225" s="18">
        <f>816.47+154437.12+117901.44</f>
        <v>273155.03000000003</v>
      </c>
      <c r="I225" s="18">
        <f>22824.62+355387.09+17185.24</f>
        <v>395396.95</v>
      </c>
      <c r="J225" s="18">
        <f>9700.22+15388.55</f>
        <v>25088.769999999997</v>
      </c>
      <c r="K225" s="18">
        <f>24.35</f>
        <v>24.35</v>
      </c>
      <c r="L225" s="19">
        <f t="shared" si="2"/>
        <v>1221023.5000000002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f>306230.37</f>
        <v>306230.37</v>
      </c>
      <c r="G226" s="18">
        <f>90457.73</f>
        <v>90457.73</v>
      </c>
      <c r="H226" s="18">
        <f>2339.26+25828.98+6204.96+119990.48</f>
        <v>154363.68</v>
      </c>
      <c r="I226" s="18">
        <f>68658.14</f>
        <v>68658.14</v>
      </c>
      <c r="J226" s="18">
        <f>1826.48</f>
        <v>1826.48</v>
      </c>
      <c r="K226" s="18">
        <f>468.88</f>
        <v>468.88</v>
      </c>
      <c r="L226" s="19">
        <f t="shared" si="2"/>
        <v>622005.28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f>56277.01</f>
        <v>56277.01</v>
      </c>
      <c r="G227" s="18">
        <f>24415.8</f>
        <v>24415.8</v>
      </c>
      <c r="H227" s="18">
        <f>13453.1</f>
        <v>13453.1</v>
      </c>
      <c r="I227" s="18">
        <f>977.88</f>
        <v>977.88</v>
      </c>
      <c r="J227" s="18"/>
      <c r="K227" s="18"/>
      <c r="L227" s="19">
        <f>SUM(F227:K227)</f>
        <v>95123.790000000008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8134164.7399999993</v>
      </c>
      <c r="G229" s="41">
        <f>SUM(G215:G228)</f>
        <v>3150826.7999999993</v>
      </c>
      <c r="H229" s="41">
        <f>SUM(H215:H228)</f>
        <v>1415375.8299999998</v>
      </c>
      <c r="I229" s="41">
        <f>SUM(I215:I228)</f>
        <v>640015.21</v>
      </c>
      <c r="J229" s="41">
        <f>SUM(J215:J228)</f>
        <v>42633.159999999996</v>
      </c>
      <c r="K229" s="41">
        <f t="shared" si="3"/>
        <v>10233.02</v>
      </c>
      <c r="L229" s="41">
        <f t="shared" si="3"/>
        <v>13393248.759999998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f>6005941.02+8135.92+151280.87+2673.84</f>
        <v>6168031.6499999994</v>
      </c>
      <c r="G233" s="18">
        <f>2421267.62+1280.42+72800.86</f>
        <v>2495348.9</v>
      </c>
      <c r="H233" s="18">
        <f>411235.93+669.41</f>
        <v>411905.33999999997</v>
      </c>
      <c r="I233" s="18">
        <f>134670+3450</f>
        <v>138120</v>
      </c>
      <c r="J233" s="18">
        <f>20841.28</f>
        <v>20841.28</v>
      </c>
      <c r="K233" s="18">
        <f>830</f>
        <v>830</v>
      </c>
      <c r="L233" s="19">
        <f>SUM(F233:K233)</f>
        <v>9235077.1699999981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f>1149987.56+1420389.73+178503.28+16818.2</f>
        <v>2765698.77</v>
      </c>
      <c r="G234" s="18">
        <f>353188.78+563811.66+69305.69+1471.5+33336.01</f>
        <v>1021113.6400000001</v>
      </c>
      <c r="H234" s="18">
        <f>972978.37+31252.04+3687.76+37028.14</f>
        <v>1044946.31</v>
      </c>
      <c r="I234" s="18">
        <f>1585.71+9796.64+3078.13+1865.51</f>
        <v>16325.99</v>
      </c>
      <c r="J234" s="18">
        <f>3533.11+146+697.48</f>
        <v>4376.59</v>
      </c>
      <c r="K234" s="18">
        <f>412.76</f>
        <v>412.76</v>
      </c>
      <c r="L234" s="19">
        <f>SUM(F234:K234)</f>
        <v>4852874.0600000005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f>92782+83367.98+20591.35+171207.89+315133.63</f>
        <v>683082.85</v>
      </c>
      <c r="G235" s="18">
        <f>42574.52+36722.48+4494.07+70977.31+109663.11+8282.24</f>
        <v>272713.73</v>
      </c>
      <c r="H235" s="18">
        <f>4760.9+1064.05+2617.15+2556.36</f>
        <v>10998.460000000001</v>
      </c>
      <c r="I235" s="18">
        <f>15654.12+1285.18+13293.21+19182.74</f>
        <v>49415.25</v>
      </c>
      <c r="J235" s="18">
        <f>500</f>
        <v>500</v>
      </c>
      <c r="K235" s="18">
        <f>280+505.95</f>
        <v>785.95</v>
      </c>
      <c r="L235" s="19">
        <f>SUM(F235:K235)</f>
        <v>1017496.2399999999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f>51761.32+243396.27+9975+47079.58</f>
        <v>352212.17</v>
      </c>
      <c r="G236" s="18">
        <f>10394.62+33959.74+1368.48+19748.95+3685.6</f>
        <v>69157.390000000014</v>
      </c>
      <c r="H236" s="18">
        <f>133529.62</f>
        <v>133529.62</v>
      </c>
      <c r="I236" s="18">
        <f>22643.96</f>
        <v>22643.96</v>
      </c>
      <c r="J236" s="18">
        <f>14304.19</f>
        <v>14304.19</v>
      </c>
      <c r="K236" s="18">
        <f>19841</f>
        <v>19841</v>
      </c>
      <c r="L236" s="19">
        <f>SUM(F236:K236)</f>
        <v>611688.32999999984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f>597124.35+104782.6+133018.02+106290.3+47548.28+6118.83+49245.71+48188.64</f>
        <v>1092316.73</v>
      </c>
      <c r="G238" s="18">
        <f>241629.2+56668.86+35894.85+38652.3+14963.5+468.13+25786.52+12569.33+12671.82</f>
        <v>439304.51</v>
      </c>
      <c r="H238" s="18">
        <f>105+25+34693.41+20852.51</f>
        <v>55675.92</v>
      </c>
      <c r="I238" s="18">
        <f>1523.45+2150.81+4559</f>
        <v>8233.26</v>
      </c>
      <c r="J238" s="18">
        <f>289.98+2043.55</f>
        <v>2333.5299999999997</v>
      </c>
      <c r="K238" s="18">
        <f>280+90</f>
        <v>370</v>
      </c>
      <c r="L238" s="19">
        <f t="shared" ref="L238:L244" si="4">SUM(F238:K238)</f>
        <v>1598233.95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f>154775.65+166308.47</f>
        <v>321084.12</v>
      </c>
      <c r="G239" s="18">
        <f>73880.89+106818.55+1863.5</f>
        <v>182562.94</v>
      </c>
      <c r="H239" s="18">
        <f>139+2155.69+233455.4</f>
        <v>235750.09</v>
      </c>
      <c r="I239" s="18">
        <f>17732.77+610.53+6183.05+80092.12</f>
        <v>104618.47</v>
      </c>
      <c r="J239" s="18">
        <f>387.25+567.84+10807.26</f>
        <v>11762.35</v>
      </c>
      <c r="K239" s="18">
        <f>449.94</f>
        <v>449.94</v>
      </c>
      <c r="L239" s="19">
        <f t="shared" si="4"/>
        <v>856227.90999999992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f>165762.09</f>
        <v>165762.09</v>
      </c>
      <c r="G240" s="18">
        <f>58700.47</f>
        <v>58700.47</v>
      </c>
      <c r="H240" s="18">
        <v>69230.820000000007</v>
      </c>
      <c r="I240" s="18">
        <f>9762.16</f>
        <v>9762.16</v>
      </c>
      <c r="J240" s="18">
        <f>0.34</f>
        <v>0.34</v>
      </c>
      <c r="K240" s="18">
        <f>3691.81</f>
        <v>3691.81</v>
      </c>
      <c r="L240" s="19">
        <f t="shared" si="4"/>
        <v>307147.69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f>962880.65</f>
        <v>962880.65</v>
      </c>
      <c r="G241" s="18">
        <f>379058.87+11677.96</f>
        <v>390736.83</v>
      </c>
      <c r="H241" s="18">
        <f>22231.38+9403</f>
        <v>31634.38</v>
      </c>
      <c r="I241" s="18">
        <f>1462.68+433.29</f>
        <v>1895.97</v>
      </c>
      <c r="J241" s="18">
        <f>2498.9</f>
        <v>2498.9</v>
      </c>
      <c r="K241" s="18">
        <f>6759</f>
        <v>6759</v>
      </c>
      <c r="L241" s="19">
        <f t="shared" si="4"/>
        <v>1396405.7299999997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f>137339.81</f>
        <v>137339.81</v>
      </c>
      <c r="G242" s="18">
        <f>54790.07</f>
        <v>54790.07</v>
      </c>
      <c r="H242" s="18">
        <f>3777.21</f>
        <v>3777.21</v>
      </c>
      <c r="I242" s="18">
        <f>28.01</f>
        <v>28.01</v>
      </c>
      <c r="J242" s="18">
        <f>319.3</f>
        <v>319.3</v>
      </c>
      <c r="K242" s="18">
        <f>692.56</f>
        <v>692.56</v>
      </c>
      <c r="L242" s="19">
        <f t="shared" si="4"/>
        <v>196946.96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f>465185.19+197231.1</f>
        <v>662416.29</v>
      </c>
      <c r="G243" s="18">
        <f>149423.75+88878.43+5631.92</f>
        <v>243934.1</v>
      </c>
      <c r="H243" s="18">
        <f>1007.16+235889.49+248916.16</f>
        <v>485812.81</v>
      </c>
      <c r="I243" s="18">
        <f>44601.17+961297.15+36281.86</f>
        <v>1042180.18</v>
      </c>
      <c r="J243" s="18">
        <f>20818.89+32488.64</f>
        <v>53307.53</v>
      </c>
      <c r="K243" s="18">
        <f>51.41</f>
        <v>51.41</v>
      </c>
      <c r="L243" s="19">
        <f t="shared" si="4"/>
        <v>2487702.3199999998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f>493228.17</f>
        <v>493228.17</v>
      </c>
      <c r="G244" s="18">
        <f>145695.21</f>
        <v>145695.21</v>
      </c>
      <c r="H244" s="18">
        <f>3173.37+114712.98+14811.84+193261.98</f>
        <v>325960.17000000004</v>
      </c>
      <c r="I244" s="18">
        <f>110583.84</f>
        <v>110583.84</v>
      </c>
      <c r="J244" s="18">
        <f>2941.82</f>
        <v>2941.82</v>
      </c>
      <c r="K244" s="18">
        <f>755.21</f>
        <v>755.21</v>
      </c>
      <c r="L244" s="19">
        <f t="shared" si="4"/>
        <v>1079164.4200000002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f>87912.19</f>
        <v>87912.19</v>
      </c>
      <c r="G245" s="18">
        <f>38140.72</f>
        <v>38140.720000000001</v>
      </c>
      <c r="H245" s="18">
        <f>21015.53</f>
        <v>21015.53</v>
      </c>
      <c r="I245" s="18">
        <f>1527.58</f>
        <v>1527.58</v>
      </c>
      <c r="J245" s="18"/>
      <c r="K245" s="18"/>
      <c r="L245" s="19">
        <f>SUM(F245:K245)</f>
        <v>148596.01999999999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13891965.489999998</v>
      </c>
      <c r="G247" s="41">
        <f t="shared" si="5"/>
        <v>5412198.5099999998</v>
      </c>
      <c r="H247" s="41">
        <f t="shared" si="5"/>
        <v>2830236.6599999997</v>
      </c>
      <c r="I247" s="41">
        <f t="shared" si="5"/>
        <v>1505334.6700000002</v>
      </c>
      <c r="J247" s="41">
        <f t="shared" si="5"/>
        <v>113185.83</v>
      </c>
      <c r="K247" s="41">
        <f t="shared" si="5"/>
        <v>34639.64</v>
      </c>
      <c r="L247" s="41">
        <f t="shared" si="5"/>
        <v>23787560.800000004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f>218907.76</f>
        <v>218907.76</v>
      </c>
      <c r="G251" s="18">
        <f>48922.07+2650.32</f>
        <v>51572.39</v>
      </c>
      <c r="H251" s="18">
        <f>58516.06</f>
        <v>58516.06</v>
      </c>
      <c r="I251" s="18">
        <f>3379.47</f>
        <v>3379.47</v>
      </c>
      <c r="J251" s="18"/>
      <c r="K251" s="18">
        <f>6976.05</f>
        <v>6976.05</v>
      </c>
      <c r="L251" s="19">
        <f t="shared" si="6"/>
        <v>339351.73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209416.5+24420+230626.99+10000</f>
        <v>474463.49</v>
      </c>
      <c r="I255" s="18"/>
      <c r="J255" s="18"/>
      <c r="K255" s="18"/>
      <c r="L255" s="19">
        <f t="shared" si="6"/>
        <v>474463.49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218907.76</v>
      </c>
      <c r="G256" s="41">
        <f t="shared" si="7"/>
        <v>51572.39</v>
      </c>
      <c r="H256" s="41">
        <f t="shared" si="7"/>
        <v>532979.55000000005</v>
      </c>
      <c r="I256" s="41">
        <f t="shared" si="7"/>
        <v>3379.47</v>
      </c>
      <c r="J256" s="41">
        <f t="shared" si="7"/>
        <v>0</v>
      </c>
      <c r="K256" s="41">
        <f t="shared" si="7"/>
        <v>6976.05</v>
      </c>
      <c r="L256" s="41">
        <f>SUM(F256:K256)</f>
        <v>813815.22000000009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38502674.829999991</v>
      </c>
      <c r="G257" s="41">
        <f t="shared" si="8"/>
        <v>14948238.129999999</v>
      </c>
      <c r="H257" s="41">
        <f t="shared" si="8"/>
        <v>6868555.2999999998</v>
      </c>
      <c r="I257" s="41">
        <f t="shared" si="8"/>
        <v>3360846.1500000004</v>
      </c>
      <c r="J257" s="41">
        <f t="shared" si="8"/>
        <v>227298.31</v>
      </c>
      <c r="K257" s="41">
        <f t="shared" si="8"/>
        <v>64117.14</v>
      </c>
      <c r="L257" s="41">
        <f t="shared" si="8"/>
        <v>63971729.859999999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f>275000+3481905+77980.51</f>
        <v>3834885.51</v>
      </c>
      <c r="L260" s="19">
        <f>SUM(F260:K260)</f>
        <v>3834885.51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f>182316.75+2746142.5</f>
        <v>2928459.25</v>
      </c>
      <c r="L261" s="19">
        <f>SUM(F261:K261)</f>
        <v>2928459.25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252517.56</v>
      </c>
      <c r="L263" s="19">
        <f>SUM(F263:K263)</f>
        <v>252517.56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118398.16+119384</f>
        <v>237782.16</v>
      </c>
      <c r="L266" s="19">
        <f t="shared" si="9"/>
        <v>237782.16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7253644.4799999995</v>
      </c>
      <c r="L270" s="41">
        <f t="shared" si="9"/>
        <v>7253644.4799999995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38502674.829999991</v>
      </c>
      <c r="G271" s="42">
        <f t="shared" si="11"/>
        <v>14948238.129999999</v>
      </c>
      <c r="H271" s="42">
        <f t="shared" si="11"/>
        <v>6868555.2999999998</v>
      </c>
      <c r="I271" s="42">
        <f t="shared" si="11"/>
        <v>3360846.1500000004</v>
      </c>
      <c r="J271" s="42">
        <f t="shared" si="11"/>
        <v>227298.31</v>
      </c>
      <c r="K271" s="42">
        <f t="shared" si="11"/>
        <v>7317761.6199999992</v>
      </c>
      <c r="L271" s="42">
        <f t="shared" si="11"/>
        <v>71225374.340000004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f>665606.86</f>
        <v>665606.86</v>
      </c>
      <c r="G276" s="18">
        <f>155718.24</f>
        <v>155718.24</v>
      </c>
      <c r="H276" s="18">
        <f>502.51</f>
        <v>502.51</v>
      </c>
      <c r="I276" s="18">
        <f>19688.99+6065.44</f>
        <v>25754.43</v>
      </c>
      <c r="J276" s="18">
        <f>3804.43+110.18</f>
        <v>3914.6099999999997</v>
      </c>
      <c r="K276" s="18"/>
      <c r="L276" s="19">
        <f>SUM(F276:K276)</f>
        <v>851496.65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487176.86+27789.17</f>
        <v>514966.02999999997</v>
      </c>
      <c r="G277" s="18">
        <f>185621.59+3393.38</f>
        <v>189014.97</v>
      </c>
      <c r="H277" s="18">
        <f>3313.92</f>
        <v>3313.92</v>
      </c>
      <c r="I277" s="18">
        <f>1622.5+3435.14</f>
        <v>5057.6399999999994</v>
      </c>
      <c r="J277" s="18">
        <f>7044.61</f>
        <v>7044.61</v>
      </c>
      <c r="K277" s="18"/>
      <c r="L277" s="19">
        <f>SUM(F277:K277)</f>
        <v>719397.17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f>101998.75+109513</f>
        <v>211511.75</v>
      </c>
      <c r="G279" s="18">
        <f>14566.32+13703.85</f>
        <v>28270.17</v>
      </c>
      <c r="H279" s="18"/>
      <c r="I279" s="18">
        <f>2070.58+12916.82</f>
        <v>14987.4</v>
      </c>
      <c r="J279" s="18"/>
      <c r="K279" s="18"/>
      <c r="L279" s="19">
        <f>SUM(F279:K279)</f>
        <v>254769.31999999998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f>3924.55+20464.54+83262.51+913.56</f>
        <v>108565.15999999999</v>
      </c>
      <c r="G281" s="18">
        <f>827.4+1713.53+18058.7+80.55</f>
        <v>20680.18</v>
      </c>
      <c r="H281" s="18">
        <f>57.4+20317.65+1700+8880</f>
        <v>30955.050000000003</v>
      </c>
      <c r="I281" s="18"/>
      <c r="J281" s="18">
        <f>804.69</f>
        <v>804.69</v>
      </c>
      <c r="K281" s="18"/>
      <c r="L281" s="19">
        <f t="shared" ref="L281:L287" si="12">SUM(F281:K281)</f>
        <v>161005.08000000002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f>3602.5+56875.42+2680.18+55908.89</f>
        <v>119066.98999999999</v>
      </c>
      <c r="G282" s="18">
        <f>204.55+14307.22+224.35+13526.76</f>
        <v>28262.879999999997</v>
      </c>
      <c r="H282" s="18">
        <f>1946.18+2600+16085.06+36502.35</f>
        <v>57133.59</v>
      </c>
      <c r="I282" s="18">
        <f>6118.78+6500+6155.99</f>
        <v>18774.769999999997</v>
      </c>
      <c r="J282" s="18">
        <f>268260.49</f>
        <v>268260.49</v>
      </c>
      <c r="K282" s="18"/>
      <c r="L282" s="19">
        <f t="shared" si="12"/>
        <v>491498.72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f>54552.17+40272.91</f>
        <v>94825.08</v>
      </c>
      <c r="G283" s="18">
        <f>22034.27+18220.45</f>
        <v>40254.720000000001</v>
      </c>
      <c r="H283" s="18">
        <f>18862.11+71557.45</f>
        <v>90419.56</v>
      </c>
      <c r="I283" s="18">
        <f>216.89+700.08</f>
        <v>916.97</v>
      </c>
      <c r="J283" s="18">
        <f>2384.99</f>
        <v>2384.9899999999998</v>
      </c>
      <c r="K283" s="18"/>
      <c r="L283" s="19">
        <f t="shared" si="12"/>
        <v>228801.31999999998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35308.74</v>
      </c>
      <c r="I287" s="18"/>
      <c r="J287" s="18"/>
      <c r="K287" s="18"/>
      <c r="L287" s="19">
        <f t="shared" si="12"/>
        <v>35308.74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1714541.8699999999</v>
      </c>
      <c r="G290" s="42">
        <f t="shared" si="13"/>
        <v>462201.15999999992</v>
      </c>
      <c r="H290" s="42">
        <f t="shared" si="13"/>
        <v>217633.37</v>
      </c>
      <c r="I290" s="42">
        <f t="shared" si="13"/>
        <v>65491.21</v>
      </c>
      <c r="J290" s="42">
        <f t="shared" si="13"/>
        <v>282409.38999999996</v>
      </c>
      <c r="K290" s="42">
        <f t="shared" si="13"/>
        <v>0</v>
      </c>
      <c r="L290" s="41">
        <f t="shared" si="13"/>
        <v>2742277.0000000005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f>36846.47</f>
        <v>36846.47</v>
      </c>
      <c r="G295" s="18">
        <f>3084.91</f>
        <v>3084.91</v>
      </c>
      <c r="H295" s="18">
        <f>244.19</f>
        <v>244.19</v>
      </c>
      <c r="I295" s="18">
        <f>5383.02+2947.41</f>
        <v>8330.43</v>
      </c>
      <c r="J295" s="18">
        <f>5000+53.54</f>
        <v>5053.54</v>
      </c>
      <c r="K295" s="18"/>
      <c r="L295" s="19">
        <f>SUM(F295:K295)</f>
        <v>53559.540000000008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f>302720.71</f>
        <v>302720.71000000002</v>
      </c>
      <c r="G296" s="18">
        <f>102141.44</f>
        <v>102141.44</v>
      </c>
      <c r="H296" s="18">
        <f>1677.51</f>
        <v>1677.51</v>
      </c>
      <c r="I296" s="18">
        <f>412.5+1738.87</f>
        <v>2151.37</v>
      </c>
      <c r="J296" s="18"/>
      <c r="K296" s="18"/>
      <c r="L296" s="19">
        <f>SUM(F296:K296)</f>
        <v>408691.03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f>41468.5+44183.5</f>
        <v>85652</v>
      </c>
      <c r="G298" s="18">
        <f>6839.75+7323.81</f>
        <v>14163.560000000001</v>
      </c>
      <c r="H298" s="18"/>
      <c r="I298" s="18">
        <f>542.19+3676.32</f>
        <v>4218.51</v>
      </c>
      <c r="J298" s="18"/>
      <c r="K298" s="18"/>
      <c r="L298" s="19">
        <f>SUM(F298:K298)</f>
        <v>104034.06999999999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f>35469.16+443.93</f>
        <v>35913.090000000004</v>
      </c>
      <c r="G300" s="18">
        <f>9913.46+9.47+433.05+39.14</f>
        <v>10395.119999999997</v>
      </c>
      <c r="H300" s="18">
        <f>201.28</f>
        <v>201.28</v>
      </c>
      <c r="I300" s="18"/>
      <c r="J300" s="18"/>
      <c r="K300" s="18"/>
      <c r="L300" s="19">
        <f t="shared" ref="L300:L306" si="14">SUM(F300:K300)</f>
        <v>46509.49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f>367.5+23992.81</f>
        <v>24360.31</v>
      </c>
      <c r="G301" s="18">
        <f>30.77+5804.89</f>
        <v>5835.6600000000008</v>
      </c>
      <c r="H301" s="18">
        <f>614.04+15664.66</f>
        <v>16278.7</v>
      </c>
      <c r="I301" s="18">
        <f>4491.41+2641.79</f>
        <v>7133.2</v>
      </c>
      <c r="J301" s="18">
        <f>115121.66</f>
        <v>115121.66</v>
      </c>
      <c r="K301" s="18"/>
      <c r="L301" s="19">
        <f t="shared" si="14"/>
        <v>168729.53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f>19570</f>
        <v>19570</v>
      </c>
      <c r="G302" s="18">
        <f>8853.95</f>
        <v>8853.9500000000007</v>
      </c>
      <c r="H302" s="18">
        <f>34772.24</f>
        <v>34772.239999999998</v>
      </c>
      <c r="I302" s="18">
        <f>340.19</f>
        <v>340.19</v>
      </c>
      <c r="J302" s="18">
        <f>1158.95</f>
        <v>1158.95</v>
      </c>
      <c r="K302" s="18"/>
      <c r="L302" s="19">
        <f t="shared" si="14"/>
        <v>64695.33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f>14271.85</f>
        <v>14271.85</v>
      </c>
      <c r="I306" s="18"/>
      <c r="J306" s="18"/>
      <c r="K306" s="18"/>
      <c r="L306" s="19">
        <f t="shared" si="14"/>
        <v>14271.85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505062.58000000007</v>
      </c>
      <c r="G309" s="42">
        <f t="shared" si="15"/>
        <v>144474.64000000001</v>
      </c>
      <c r="H309" s="42">
        <f t="shared" si="15"/>
        <v>67445.77</v>
      </c>
      <c r="I309" s="42">
        <f t="shared" si="15"/>
        <v>22173.699999999997</v>
      </c>
      <c r="J309" s="42">
        <f t="shared" si="15"/>
        <v>121334.15</v>
      </c>
      <c r="K309" s="42">
        <f t="shared" si="15"/>
        <v>0</v>
      </c>
      <c r="L309" s="41">
        <f t="shared" si="15"/>
        <v>860490.84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>
        <f>393.3</f>
        <v>393.3</v>
      </c>
      <c r="I314" s="18">
        <f>4273.41+4747.22</f>
        <v>9020.630000000001</v>
      </c>
      <c r="J314" s="18">
        <f>2363.98+86.23</f>
        <v>2450.21</v>
      </c>
      <c r="K314" s="18"/>
      <c r="L314" s="19">
        <f>SUM(F314:K314)</f>
        <v>11864.14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f>16095.48</f>
        <v>16095.48</v>
      </c>
      <c r="G315" s="18">
        <f>4666.81</f>
        <v>4666.8100000000004</v>
      </c>
      <c r="H315" s="18">
        <f>2764.05</f>
        <v>2764.05</v>
      </c>
      <c r="I315" s="18">
        <f>67.37+2865.16</f>
        <v>2932.5299999999997</v>
      </c>
      <c r="J315" s="18">
        <f>12097.87</f>
        <v>12097.87</v>
      </c>
      <c r="K315" s="18"/>
      <c r="L315" s="19">
        <f>SUM(F315:K315)</f>
        <v>38556.74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f>7938+25208+61370.54</f>
        <v>94516.540000000008</v>
      </c>
      <c r="G316" s="18">
        <f>664.66+2154.09+8709.5</f>
        <v>11528.25</v>
      </c>
      <c r="H316" s="18">
        <f>2177.5</f>
        <v>2177.5</v>
      </c>
      <c r="I316" s="18">
        <f>2500+6120+6180.35</f>
        <v>14800.35</v>
      </c>
      <c r="J316" s="18">
        <f>1381.89+9396.37+50138.26+9567.45</f>
        <v>70483.97</v>
      </c>
      <c r="K316" s="18"/>
      <c r="L316" s="19">
        <f>SUM(F316:K316)</f>
        <v>193506.61000000002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2356+1904+32350.67</f>
        <v>36610.67</v>
      </c>
      <c r="G317" s="18">
        <f>370.54+315.56+4103.15</f>
        <v>4789.25</v>
      </c>
      <c r="H317" s="18"/>
      <c r="I317" s="18">
        <f>595+123.96</f>
        <v>718.96</v>
      </c>
      <c r="J317" s="18">
        <f>2360.56</f>
        <v>2360.56</v>
      </c>
      <c r="K317" s="18"/>
      <c r="L317" s="19">
        <f>SUM(F317:K317)</f>
        <v>44479.439999999995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f>56733.92+715.01</f>
        <v>57448.93</v>
      </c>
      <c r="G319" s="18">
        <f>29388.08+63.05</f>
        <v>29451.13</v>
      </c>
      <c r="H319" s="18">
        <f>201.28</f>
        <v>201.28</v>
      </c>
      <c r="I319" s="18">
        <f>789.8</f>
        <v>789.8</v>
      </c>
      <c r="J319" s="18"/>
      <c r="K319" s="18"/>
      <c r="L319" s="19">
        <f t="shared" ref="L319:L325" si="16">SUM(F319:K319)</f>
        <v>87891.14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f>38944.7+37479.96</f>
        <v>76424.66</v>
      </c>
      <c r="G320" s="18">
        <f>10943.71+9068.01</f>
        <v>20011.72</v>
      </c>
      <c r="H320" s="18">
        <f>28962.93+24470.29</f>
        <v>53433.22</v>
      </c>
      <c r="I320" s="18">
        <f>21068.04+4126.82</f>
        <v>25194.86</v>
      </c>
      <c r="J320" s="18">
        <f>179835.34</f>
        <v>179835.34</v>
      </c>
      <c r="K320" s="18">
        <f>12127.51</f>
        <v>12127.51</v>
      </c>
      <c r="L320" s="19">
        <f t="shared" si="16"/>
        <v>367027.31000000006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f>31520.31</f>
        <v>31520.31</v>
      </c>
      <c r="G321" s="18">
        <f>14260.57</f>
        <v>14260.57</v>
      </c>
      <c r="H321" s="18">
        <f>56005.71</f>
        <v>56005.71</v>
      </c>
      <c r="I321" s="18">
        <f>547.93</f>
        <v>547.92999999999995</v>
      </c>
      <c r="J321" s="18">
        <f>1866.66</f>
        <v>1866.66</v>
      </c>
      <c r="K321" s="18"/>
      <c r="L321" s="19">
        <f t="shared" si="16"/>
        <v>104201.18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f>40461.57+2500+58117.25</f>
        <v>101078.82</v>
      </c>
      <c r="I325" s="18"/>
      <c r="J325" s="18"/>
      <c r="K325" s="18"/>
      <c r="L325" s="19">
        <f t="shared" si="16"/>
        <v>101078.82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312616.59000000003</v>
      </c>
      <c r="G328" s="42">
        <f t="shared" si="17"/>
        <v>84707.73000000001</v>
      </c>
      <c r="H328" s="42">
        <f t="shared" si="17"/>
        <v>216053.88</v>
      </c>
      <c r="I328" s="42">
        <f t="shared" si="17"/>
        <v>54005.060000000005</v>
      </c>
      <c r="J328" s="42">
        <f t="shared" si="17"/>
        <v>269094.61</v>
      </c>
      <c r="K328" s="42">
        <f t="shared" si="17"/>
        <v>12127.51</v>
      </c>
      <c r="L328" s="41">
        <f t="shared" si="17"/>
        <v>948605.38000000012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f>115905.53</f>
        <v>115905.53</v>
      </c>
      <c r="G333" s="18">
        <f>17143.94</f>
        <v>17143.939999999999</v>
      </c>
      <c r="H333" s="18">
        <f>2262.98</f>
        <v>2262.98</v>
      </c>
      <c r="I333" s="18">
        <f>29468.45</f>
        <v>29468.45</v>
      </c>
      <c r="J333" s="18">
        <f>52993.77</f>
        <v>52993.77</v>
      </c>
      <c r="K333" s="18"/>
      <c r="L333" s="19">
        <f t="shared" si="18"/>
        <v>217774.67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f>18954</f>
        <v>18954</v>
      </c>
      <c r="I336" s="18"/>
      <c r="J336" s="18"/>
      <c r="K336" s="18"/>
      <c r="L336" s="19">
        <f t="shared" si="18"/>
        <v>18954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115905.53</v>
      </c>
      <c r="G337" s="41">
        <f t="shared" si="19"/>
        <v>17143.939999999999</v>
      </c>
      <c r="H337" s="41">
        <f t="shared" si="19"/>
        <v>21216.98</v>
      </c>
      <c r="I337" s="41">
        <f t="shared" si="19"/>
        <v>29468.45</v>
      </c>
      <c r="J337" s="41">
        <f t="shared" si="19"/>
        <v>52993.77</v>
      </c>
      <c r="K337" s="41">
        <f t="shared" si="19"/>
        <v>0</v>
      </c>
      <c r="L337" s="41">
        <f t="shared" si="18"/>
        <v>236728.67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2648126.5699999998</v>
      </c>
      <c r="G338" s="41">
        <f t="shared" si="20"/>
        <v>708527.46999999986</v>
      </c>
      <c r="H338" s="41">
        <f t="shared" si="20"/>
        <v>522350</v>
      </c>
      <c r="I338" s="41">
        <f t="shared" si="20"/>
        <v>171138.42</v>
      </c>
      <c r="J338" s="41">
        <f t="shared" si="20"/>
        <v>725831.91999999993</v>
      </c>
      <c r="K338" s="41">
        <f t="shared" si="20"/>
        <v>12127.51</v>
      </c>
      <c r="L338" s="41">
        <f t="shared" si="20"/>
        <v>4788101.8900000006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119212.57</v>
      </c>
      <c r="L344" s="19">
        <f t="shared" ref="L344:L350" si="21">SUM(F344:K344)</f>
        <v>119212.57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119212.57</v>
      </c>
      <c r="L351" s="41">
        <f>SUM(L341:L350)</f>
        <v>119212.57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2648126.5699999998</v>
      </c>
      <c r="G352" s="41">
        <f>G338</f>
        <v>708527.46999999986</v>
      </c>
      <c r="H352" s="41">
        <f>H338</f>
        <v>522350</v>
      </c>
      <c r="I352" s="41">
        <f>I338</f>
        <v>171138.42</v>
      </c>
      <c r="J352" s="41">
        <f>J338</f>
        <v>725831.91999999993</v>
      </c>
      <c r="K352" s="47">
        <f>K338+K351</f>
        <v>131340.08000000002</v>
      </c>
      <c r="L352" s="41">
        <f>L338+L351</f>
        <v>4907314.4600000009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f>207822.97+56644.93</f>
        <v>264467.90000000002</v>
      </c>
      <c r="G358" s="18">
        <f>86403.16+10477.59</f>
        <v>96880.75</v>
      </c>
      <c r="H358" s="18">
        <f>18494.18+1987.44</f>
        <v>20481.62</v>
      </c>
      <c r="I358" s="18">
        <f>301925.43+70618.33</f>
        <v>372543.76</v>
      </c>
      <c r="J358" s="18">
        <f>429.01</f>
        <v>429.01</v>
      </c>
      <c r="K358" s="18">
        <f>0.25+492.95</f>
        <v>493.2</v>
      </c>
      <c r="L358" s="13">
        <f>SUM(F358:K358)</f>
        <v>755296.24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f>100607.49+27525.74</f>
        <v>128133.23000000001</v>
      </c>
      <c r="G359" s="18">
        <f>32425.98+5091.42</f>
        <v>37517.4</v>
      </c>
      <c r="H359" s="18">
        <f>2766.96+965.77</f>
        <v>3732.73</v>
      </c>
      <c r="I359" s="18">
        <f>166992.06+34315.9</f>
        <v>201307.96</v>
      </c>
      <c r="J359" s="18"/>
      <c r="K359" s="18">
        <f>45.2+239.54</f>
        <v>284.74</v>
      </c>
      <c r="L359" s="19">
        <f>SUM(F359:K359)</f>
        <v>370976.06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f>127696.12+44334.17</f>
        <v>172030.28999999998</v>
      </c>
      <c r="G360" s="18">
        <f>37869.83+8200.48</f>
        <v>46070.31</v>
      </c>
      <c r="H360" s="18">
        <f>12158.31+1555.51</f>
        <v>13713.82</v>
      </c>
      <c r="I360" s="18">
        <f>240119.5+55270.7</f>
        <v>295390.2</v>
      </c>
      <c r="J360" s="18">
        <f>543.02</f>
        <v>543.02</v>
      </c>
      <c r="K360" s="18">
        <f>205.51+385.81</f>
        <v>591.31999999999994</v>
      </c>
      <c r="L360" s="19">
        <f>SUM(F360:K360)</f>
        <v>528338.96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564631.41999999993</v>
      </c>
      <c r="G362" s="47">
        <f t="shared" si="22"/>
        <v>180468.46</v>
      </c>
      <c r="H362" s="47">
        <f t="shared" si="22"/>
        <v>37928.17</v>
      </c>
      <c r="I362" s="47">
        <f t="shared" si="22"/>
        <v>869241.91999999993</v>
      </c>
      <c r="J362" s="47">
        <f t="shared" si="22"/>
        <v>972.03</v>
      </c>
      <c r="K362" s="47">
        <f t="shared" si="22"/>
        <v>1369.26</v>
      </c>
      <c r="L362" s="47">
        <f t="shared" si="22"/>
        <v>1654611.26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2848.49+199520.69+35403.8+6587.03+25229.26+65929.27</f>
        <v>335518.53999999998</v>
      </c>
      <c r="G367" s="18">
        <f>1628.34+88452.46+16798.02+3812.12+8832.68+19908+13565.98+32037.32</f>
        <v>185034.92</v>
      </c>
      <c r="H367" s="18">
        <f>125346.96+24159.93+8959.96+12047+16362+40157.63+51600.73</f>
        <v>278634.21000000002</v>
      </c>
      <c r="I367" s="56">
        <f>SUM(F367:H367)</f>
        <v>799187.66999999993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32336.16+4689.06</f>
        <v>37025.22</v>
      </c>
      <c r="G368" s="63">
        <f>13994.46+2278.58</f>
        <v>16273.039999999999</v>
      </c>
      <c r="H368" s="63">
        <f>13086.02+3669.97</f>
        <v>16755.990000000002</v>
      </c>
      <c r="I368" s="56">
        <f>SUM(F368:H368)</f>
        <v>70054.25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372543.76</v>
      </c>
      <c r="G369" s="47">
        <f>SUM(G367:G368)</f>
        <v>201307.96000000002</v>
      </c>
      <c r="H369" s="47">
        <f>SUM(H367:H368)</f>
        <v>295390.2</v>
      </c>
      <c r="I369" s="47">
        <f>SUM(I367:I368)</f>
        <v>869241.91999999993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>
        <f>10000</f>
        <v>10000</v>
      </c>
      <c r="I378" s="18"/>
      <c r="J378" s="18">
        <f>17434.78</f>
        <v>17434.78</v>
      </c>
      <c r="K378" s="18"/>
      <c r="L378" s="13">
        <f t="shared" si="23"/>
        <v>27434.78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>
        <f>1088490.27+3378</f>
        <v>1091868.27</v>
      </c>
      <c r="I379" s="18">
        <f>34.88</f>
        <v>34.880000000000003</v>
      </c>
      <c r="J379" s="18">
        <f>41332.9</f>
        <v>41332.9</v>
      </c>
      <c r="K379" s="18"/>
      <c r="L379" s="13">
        <f t="shared" si="23"/>
        <v>1133236.0499999998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f>734.27</f>
        <v>734.27</v>
      </c>
      <c r="G380" s="18">
        <f>135.1</f>
        <v>135.1</v>
      </c>
      <c r="H380" s="18">
        <f>16823.81+1046.44</f>
        <v>17870.25</v>
      </c>
      <c r="I380" s="18">
        <f>2750.97</f>
        <v>2750.97</v>
      </c>
      <c r="J380" s="18">
        <f>63774.13+6167.5+38.88</f>
        <v>69980.510000000009</v>
      </c>
      <c r="K380" s="18"/>
      <c r="L380" s="13">
        <f t="shared" si="23"/>
        <v>91471.1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734.27</v>
      </c>
      <c r="G382" s="139">
        <f t="shared" ref="G382:L382" si="24">SUM(G374:G381)</f>
        <v>135.1</v>
      </c>
      <c r="H382" s="139">
        <f t="shared" si="24"/>
        <v>1119738.52</v>
      </c>
      <c r="I382" s="41">
        <f t="shared" si="24"/>
        <v>2785.85</v>
      </c>
      <c r="J382" s="47">
        <f t="shared" si="24"/>
        <v>128748.19</v>
      </c>
      <c r="K382" s="47">
        <f t="shared" si="24"/>
        <v>0</v>
      </c>
      <c r="L382" s="47">
        <f t="shared" si="24"/>
        <v>1252141.93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f>237782.16</f>
        <v>237782.16</v>
      </c>
      <c r="H400" s="18">
        <f>3936.39+352.63</f>
        <v>4289.0199999999995</v>
      </c>
      <c r="I400" s="18">
        <v>31527</v>
      </c>
      <c r="J400" s="24" t="s">
        <v>289</v>
      </c>
      <c r="K400" s="24" t="s">
        <v>289</v>
      </c>
      <c r="L400" s="56">
        <f t="shared" si="26"/>
        <v>273598.18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237782.16</v>
      </c>
      <c r="H401" s="47">
        <f>SUM(H395:H400)</f>
        <v>4289.0199999999995</v>
      </c>
      <c r="I401" s="47">
        <f>SUM(I395:I400)</f>
        <v>31527</v>
      </c>
      <c r="J401" s="45" t="s">
        <v>289</v>
      </c>
      <c r="K401" s="45" t="s">
        <v>289</v>
      </c>
      <c r="L401" s="47">
        <f>SUM(L395:L400)</f>
        <v>273598.18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237782.16</v>
      </c>
      <c r="H408" s="47">
        <f>H393+H401+H407</f>
        <v>4289.0199999999995</v>
      </c>
      <c r="I408" s="47">
        <f>I393+I401+I407</f>
        <v>31527</v>
      </c>
      <c r="J408" s="24" t="s">
        <v>289</v>
      </c>
      <c r="K408" s="24" t="s">
        <v>289</v>
      </c>
      <c r="L408" s="47">
        <f>L393+L401+L407</f>
        <v>273598.18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>
        <f>1319371.89</f>
        <v>1319371.8899999999</v>
      </c>
      <c r="L426" s="56">
        <f t="shared" si="29"/>
        <v>1319371.8899999999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1319371.8899999999</v>
      </c>
      <c r="L427" s="47">
        <f t="shared" si="30"/>
        <v>1319371.8899999999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>
        <v>11896.55</v>
      </c>
      <c r="I429" s="18"/>
      <c r="J429" s="18"/>
      <c r="K429" s="18"/>
      <c r="L429" s="56">
        <f>SUM(F429:K429)</f>
        <v>11896.55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11896.55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11896.55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11896.55</v>
      </c>
      <c r="I434" s="47">
        <f t="shared" si="32"/>
        <v>0</v>
      </c>
      <c r="J434" s="47">
        <f t="shared" si="32"/>
        <v>0</v>
      </c>
      <c r="K434" s="47">
        <f t="shared" si="32"/>
        <v>1319371.8899999999</v>
      </c>
      <c r="L434" s="47">
        <f t="shared" si="32"/>
        <v>1331268.44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>
        <f>3652011.36+333235.49</f>
        <v>3985246.8499999996</v>
      </c>
      <c r="H440" s="18"/>
      <c r="I440" s="56">
        <f t="shared" si="33"/>
        <v>3985246.8499999996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>
        <f>-1797634.2+93749.4</f>
        <v>-1703884.8</v>
      </c>
      <c r="H441" s="18"/>
      <c r="I441" s="56">
        <f t="shared" si="33"/>
        <v>-1703884.8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2281362.0499999998</v>
      </c>
      <c r="H446" s="13">
        <f>SUM(H439:H445)</f>
        <v>0</v>
      </c>
      <c r="I446" s="13">
        <f>SUM(I439:I445)</f>
        <v>2281362.0499999998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f>-1820263.65+93749.4</f>
        <v>-1726514.25</v>
      </c>
      <c r="H448" s="18"/>
      <c r="I448" s="56">
        <f>SUM(F448:H448)</f>
        <v>-1726514.25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-1726514.25</v>
      </c>
      <c r="H452" s="72">
        <f>SUM(H448:H451)</f>
        <v>0</v>
      </c>
      <c r="I452" s="72">
        <f>SUM(I448:I451)</f>
        <v>-1726514.25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>
        <v>3059</v>
      </c>
      <c r="H454" s="18"/>
      <c r="I454" s="56">
        <f t="shared" ref="I454:I459" si="34">SUM(F454:H454)</f>
        <v>3059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f>3674640.81+330176.49</f>
        <v>4004817.3</v>
      </c>
      <c r="H459" s="18"/>
      <c r="I459" s="56">
        <f t="shared" si="34"/>
        <v>4004817.3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4007876.3</v>
      </c>
      <c r="H460" s="83">
        <f>SUM(H454:H459)</f>
        <v>0</v>
      </c>
      <c r="I460" s="83">
        <f>SUM(I454:I459)</f>
        <v>4007876.3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2281362.0499999998</v>
      </c>
      <c r="H461" s="42">
        <f>H452+H460</f>
        <v>0</v>
      </c>
      <c r="I461" s="42">
        <f>I452+I460</f>
        <v>2281362.0499999998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2192247.16</v>
      </c>
      <c r="G465" s="18">
        <v>-122086.87</v>
      </c>
      <c r="H465" s="18">
        <v>201774.64</v>
      </c>
      <c r="I465" s="18">
        <v>2061326.92</v>
      </c>
      <c r="J465" s="18">
        <v>5065546.5599999996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71689368.010000005</v>
      </c>
      <c r="G468" s="18">
        <v>1778411.28</v>
      </c>
      <c r="H468" s="18">
        <v>4971193.22</v>
      </c>
      <c r="I468" s="18">
        <v>92411.19</v>
      </c>
      <c r="J468" s="18">
        <f>241718.55+31879.63</f>
        <v>273598.18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71689368.010000005</v>
      </c>
      <c r="G470" s="53">
        <f>SUM(G468:G469)</f>
        <v>1778411.28</v>
      </c>
      <c r="H470" s="53">
        <f>SUM(H468:H469)</f>
        <v>4971193.22</v>
      </c>
      <c r="I470" s="53">
        <f>SUM(I468:I469)</f>
        <v>92411.19</v>
      </c>
      <c r="J470" s="53">
        <f>SUM(J468:J469)</f>
        <v>273598.18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71225374.340000004</v>
      </c>
      <c r="G472" s="18">
        <v>1654611.26</v>
      </c>
      <c r="H472" s="18">
        <v>4907314.46</v>
      </c>
      <c r="I472" s="18">
        <v>1252141.93</v>
      </c>
      <c r="J472" s="18">
        <f>1319371.89+11896.55</f>
        <v>1331268.44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71225374.340000004</v>
      </c>
      <c r="G474" s="53">
        <f>SUM(G472:G473)</f>
        <v>1654611.26</v>
      </c>
      <c r="H474" s="53">
        <f>SUM(H472:H473)</f>
        <v>4907314.46</v>
      </c>
      <c r="I474" s="53">
        <f>SUM(I472:I473)</f>
        <v>1252141.93</v>
      </c>
      <c r="J474" s="53">
        <f>SUM(J472:J473)</f>
        <v>1331268.44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2656240.8299999982</v>
      </c>
      <c r="G476" s="53">
        <f>(G465+G470)- G474</f>
        <v>1713.1500000001397</v>
      </c>
      <c r="H476" s="53">
        <f>(H465+H470)- H474</f>
        <v>265653.39999999944</v>
      </c>
      <c r="I476" s="53">
        <f>(I465+I470)- I474</f>
        <v>901596.17999999993</v>
      </c>
      <c r="J476" s="53">
        <f>(J465+J470)- J474</f>
        <v>4007876.2999999993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911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33198041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 t="s">
        <v>913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56476940</v>
      </c>
      <c r="G495" s="18"/>
      <c r="H495" s="18"/>
      <c r="I495" s="18"/>
      <c r="J495" s="18"/>
      <c r="K495" s="53">
        <f>SUM(F495:J495)</f>
        <v>56476940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3756905</v>
      </c>
      <c r="G497" s="18"/>
      <c r="H497" s="18"/>
      <c r="I497" s="18"/>
      <c r="J497" s="18"/>
      <c r="K497" s="53">
        <f t="shared" si="35"/>
        <v>3756905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52720035</v>
      </c>
      <c r="G498" s="204"/>
      <c r="H498" s="204"/>
      <c r="I498" s="204"/>
      <c r="J498" s="204"/>
      <c r="K498" s="205">
        <f t="shared" si="35"/>
        <v>52720035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f>26367657.2-(3006439.76-929616.63)</f>
        <v>24290834.07</v>
      </c>
      <c r="G499" s="18"/>
      <c r="H499" s="18"/>
      <c r="I499" s="18"/>
      <c r="J499" s="18"/>
      <c r="K499" s="53">
        <f t="shared" si="35"/>
        <v>24290834.07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77010869.069999993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77010869.069999993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2743450</v>
      </c>
      <c r="G501" s="204"/>
      <c r="H501" s="204"/>
      <c r="I501" s="204"/>
      <c r="J501" s="204"/>
      <c r="K501" s="205">
        <f t="shared" si="35"/>
        <v>2743450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f>2846286.39-914794.13</f>
        <v>1931492.2600000002</v>
      </c>
      <c r="G502" s="18"/>
      <c r="H502" s="18"/>
      <c r="I502" s="18"/>
      <c r="J502" s="18"/>
      <c r="K502" s="53">
        <f t="shared" si="35"/>
        <v>1931492.2600000002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4674942.26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4674942.26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3739744.32</f>
        <v>3739744.32</v>
      </c>
      <c r="G521" s="18">
        <f>1216634.24</f>
        <v>1216634.24</v>
      </c>
      <c r="H521" s="18">
        <f>549996.36</f>
        <v>549996.36</v>
      </c>
      <c r="I521" s="18">
        <f>19165.02</f>
        <v>19165.02</v>
      </c>
      <c r="J521" s="18">
        <f>7880.85</f>
        <v>7880.85</v>
      </c>
      <c r="K521" s="18">
        <f>0</f>
        <v>0</v>
      </c>
      <c r="L521" s="88">
        <f>SUM(F521:K521)</f>
        <v>5533420.7899999991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1598240.66</f>
        <v>1598240.66</v>
      </c>
      <c r="G522" s="18">
        <f>533721.62</f>
        <v>533721.62</v>
      </c>
      <c r="H522" s="18">
        <f>680490.99</f>
        <v>680490.99</v>
      </c>
      <c r="I522" s="18">
        <f>6644.82</f>
        <v>6644.82</v>
      </c>
      <c r="J522" s="18">
        <f>423.31</f>
        <v>423.31</v>
      </c>
      <c r="K522" s="18">
        <f>0</f>
        <v>0</v>
      </c>
      <c r="L522" s="88">
        <f>SUM(F522:K522)</f>
        <v>2819521.3999999994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2781794.25</f>
        <v>2781794.25</v>
      </c>
      <c r="G523" s="18">
        <f>992444.44</f>
        <v>992444.44</v>
      </c>
      <c r="H523" s="18">
        <f>1044453.72</f>
        <v>1044453.72</v>
      </c>
      <c r="I523" s="18">
        <f>19258.52</f>
        <v>19258.52</v>
      </c>
      <c r="J523" s="18">
        <f>16474.46</f>
        <v>16474.46</v>
      </c>
      <c r="K523" s="18">
        <f>412.76</f>
        <v>412.76</v>
      </c>
      <c r="L523" s="88">
        <f>SUM(F523:K523)</f>
        <v>4854838.1499999994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8119779.2299999995</v>
      </c>
      <c r="G524" s="108">
        <f t="shared" ref="G524:L524" si="36">SUM(G521:G523)</f>
        <v>2742800.3</v>
      </c>
      <c r="H524" s="108">
        <f t="shared" si="36"/>
        <v>2274941.0700000003</v>
      </c>
      <c r="I524" s="108">
        <f t="shared" si="36"/>
        <v>45068.36</v>
      </c>
      <c r="J524" s="108">
        <f t="shared" si="36"/>
        <v>24778.62</v>
      </c>
      <c r="K524" s="108">
        <f t="shared" si="36"/>
        <v>412.76</v>
      </c>
      <c r="L524" s="89">
        <f t="shared" si="36"/>
        <v>13207780.339999998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1259162.84</f>
        <v>1259162.8400000001</v>
      </c>
      <c r="G526" s="18">
        <f>419530.41</f>
        <v>419530.41</v>
      </c>
      <c r="H526" s="18">
        <f>195728.39</f>
        <v>195728.39</v>
      </c>
      <c r="I526" s="18">
        <f>12351.69</f>
        <v>12351.69</v>
      </c>
      <c r="J526" s="18">
        <f>3254.77</f>
        <v>3254.77</v>
      </c>
      <c r="K526" s="18">
        <f>0</f>
        <v>0</v>
      </c>
      <c r="L526" s="88">
        <f>SUM(F526:K526)</f>
        <v>1890028.1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f>229869.86</f>
        <v>229869.86</v>
      </c>
      <c r="G527" s="18">
        <f>78795.74</f>
        <v>78795.740000000005</v>
      </c>
      <c r="H527" s="18">
        <f>22303.98</f>
        <v>22303.98</v>
      </c>
      <c r="I527" s="18">
        <f>2753.86</f>
        <v>2753.86</v>
      </c>
      <c r="J527" s="18">
        <f>1240.23</f>
        <v>1240.23</v>
      </c>
      <c r="K527" s="18">
        <f>0</f>
        <v>0</v>
      </c>
      <c r="L527" s="88">
        <f>SUM(F527:K527)</f>
        <v>334963.66999999993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f>447858.71</f>
        <v>447858.71</v>
      </c>
      <c r="G528" s="18">
        <f>157795.23</f>
        <v>157795.23000000001</v>
      </c>
      <c r="H528" s="18">
        <f>54280.68</f>
        <v>54280.68</v>
      </c>
      <c r="I528" s="18">
        <f>5327.36</f>
        <v>5327.36</v>
      </c>
      <c r="J528" s="18">
        <f>2043.55</f>
        <v>2043.55</v>
      </c>
      <c r="K528" s="18">
        <f>0</f>
        <v>0</v>
      </c>
      <c r="L528" s="88">
        <f>SUM(F528:K528)</f>
        <v>667305.53000000014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1936891.4100000001</v>
      </c>
      <c r="G529" s="89">
        <f t="shared" ref="G529:L529" si="37">SUM(G526:G528)</f>
        <v>656121.38</v>
      </c>
      <c r="H529" s="89">
        <f t="shared" si="37"/>
        <v>272313.05000000005</v>
      </c>
      <c r="I529" s="89">
        <f t="shared" si="37"/>
        <v>20432.91</v>
      </c>
      <c r="J529" s="89">
        <f t="shared" si="37"/>
        <v>6538.55</v>
      </c>
      <c r="K529" s="89">
        <f t="shared" si="37"/>
        <v>0</v>
      </c>
      <c r="L529" s="89">
        <f t="shared" si="37"/>
        <v>2892297.3000000003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f>61635.61</f>
        <v>61635.61</v>
      </c>
      <c r="G531" s="18">
        <f>18568.27</f>
        <v>18568.27</v>
      </c>
      <c r="H531" s="18"/>
      <c r="I531" s="18"/>
      <c r="J531" s="18"/>
      <c r="K531" s="18"/>
      <c r="L531" s="88">
        <f>SUM(F531:K531)</f>
        <v>80203.88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f>31200.06</f>
        <v>31200.06</v>
      </c>
      <c r="G532" s="18">
        <f>9399.29</f>
        <v>9399.2900000000009</v>
      </c>
      <c r="H532" s="18"/>
      <c r="I532" s="18"/>
      <c r="J532" s="18"/>
      <c r="K532" s="18"/>
      <c r="L532" s="88">
        <f>SUM(F532:K532)</f>
        <v>40599.350000000006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f>51408.69</f>
        <v>51408.69</v>
      </c>
      <c r="G533" s="18">
        <f>15487.32</f>
        <v>15487.32</v>
      </c>
      <c r="H533" s="18"/>
      <c r="I533" s="18"/>
      <c r="J533" s="18"/>
      <c r="K533" s="18"/>
      <c r="L533" s="88">
        <f>SUM(F533:K533)</f>
        <v>66896.010000000009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144244.35999999999</v>
      </c>
      <c r="G534" s="89">
        <f t="shared" ref="G534:L534" si="38">SUM(G531:G533)</f>
        <v>43454.880000000005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187699.24000000002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f>3904.5</f>
        <v>3904.5</v>
      </c>
      <c r="I536" s="18"/>
      <c r="J536" s="18"/>
      <c r="K536" s="18"/>
      <c r="L536" s="88">
        <f>SUM(F536:K536)</f>
        <v>3904.5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f>1976.46</f>
        <v>1976.46</v>
      </c>
      <c r="I537" s="18"/>
      <c r="J537" s="18"/>
      <c r="K537" s="18"/>
      <c r="L537" s="88">
        <f>SUM(F537:K537)</f>
        <v>1976.46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f>3256.64</f>
        <v>3256.64</v>
      </c>
      <c r="I538" s="18"/>
      <c r="J538" s="18"/>
      <c r="K538" s="18"/>
      <c r="L538" s="88">
        <f>SUM(F538:K538)</f>
        <v>3256.64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9137.6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9137.6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>
        <f>261185.7</f>
        <v>261185.7</v>
      </c>
      <c r="G541" s="18">
        <f>73638.97</f>
        <v>73638.97</v>
      </c>
      <c r="H541" s="18">
        <f>159954.55</f>
        <v>159954.54999999999</v>
      </c>
      <c r="I541" s="18">
        <f>0</f>
        <v>0</v>
      </c>
      <c r="J541" s="18">
        <f>0</f>
        <v>0</v>
      </c>
      <c r="K541" s="18">
        <f>267.66</f>
        <v>267.66000000000003</v>
      </c>
      <c r="L541" s="88">
        <f>SUM(F541:K541)</f>
        <v>495046.88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>
        <f>126919.19</f>
        <v>126919.19</v>
      </c>
      <c r="G542" s="18">
        <f>35783.74</f>
        <v>35783.74</v>
      </c>
      <c r="H542" s="18">
        <f>77727.46</f>
        <v>77727.460000000006</v>
      </c>
      <c r="I542" s="18">
        <f>0</f>
        <v>0</v>
      </c>
      <c r="J542" s="18">
        <f>0</f>
        <v>0</v>
      </c>
      <c r="K542" s="18">
        <f>130.07</f>
        <v>130.07</v>
      </c>
      <c r="L542" s="88">
        <f>SUM(F542:K542)</f>
        <v>240560.46000000002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>
        <f>204421.66</f>
        <v>204421.66</v>
      </c>
      <c r="G543" s="18">
        <f>57634.86</f>
        <v>57634.86</v>
      </c>
      <c r="H543" s="18">
        <f>125191.29</f>
        <v>125191.29</v>
      </c>
      <c r="I543" s="18">
        <f>0</f>
        <v>0</v>
      </c>
      <c r="J543" s="18">
        <f>0</f>
        <v>0</v>
      </c>
      <c r="K543" s="18">
        <f>209.49</f>
        <v>209.49</v>
      </c>
      <c r="L543" s="88">
        <f>SUM(F543:K543)</f>
        <v>387457.3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592526.55000000005</v>
      </c>
      <c r="G544" s="193">
        <f t="shared" ref="G544:L544" si="40">SUM(G541:G543)</f>
        <v>167057.57</v>
      </c>
      <c r="H544" s="193">
        <f t="shared" si="40"/>
        <v>362873.3</v>
      </c>
      <c r="I544" s="193">
        <f t="shared" si="40"/>
        <v>0</v>
      </c>
      <c r="J544" s="193">
        <f t="shared" si="40"/>
        <v>0</v>
      </c>
      <c r="K544" s="193">
        <f t="shared" si="40"/>
        <v>607.22</v>
      </c>
      <c r="L544" s="193">
        <f t="shared" si="40"/>
        <v>1123064.6400000001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10793441.550000001</v>
      </c>
      <c r="G545" s="89">
        <f t="shared" ref="G545:L545" si="41">G524+G529+G534+G539+G544</f>
        <v>3609434.1299999994</v>
      </c>
      <c r="H545" s="89">
        <f t="shared" si="41"/>
        <v>2919265.02</v>
      </c>
      <c r="I545" s="89">
        <f t="shared" si="41"/>
        <v>65501.270000000004</v>
      </c>
      <c r="J545" s="89">
        <f t="shared" si="41"/>
        <v>31317.17</v>
      </c>
      <c r="K545" s="89">
        <f t="shared" si="41"/>
        <v>1019.98</v>
      </c>
      <c r="L545" s="89">
        <f t="shared" si="41"/>
        <v>17419979.119999997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5533420.7899999991</v>
      </c>
      <c r="G549" s="87">
        <f>L526</f>
        <v>1890028.1</v>
      </c>
      <c r="H549" s="87">
        <f>L531</f>
        <v>80203.88</v>
      </c>
      <c r="I549" s="87">
        <f>L536</f>
        <v>3904.5</v>
      </c>
      <c r="J549" s="87">
        <f>L541</f>
        <v>495046.88</v>
      </c>
      <c r="K549" s="87">
        <f>SUM(F549:J549)</f>
        <v>8002604.1499999985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2819521.3999999994</v>
      </c>
      <c r="G550" s="87">
        <f>L527</f>
        <v>334963.66999999993</v>
      </c>
      <c r="H550" s="87">
        <f>L532</f>
        <v>40599.350000000006</v>
      </c>
      <c r="I550" s="87">
        <f>L537</f>
        <v>1976.46</v>
      </c>
      <c r="J550" s="87">
        <f>L542</f>
        <v>240560.46000000002</v>
      </c>
      <c r="K550" s="87">
        <f>SUM(F550:J550)</f>
        <v>3437621.3399999994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4854838.1499999994</v>
      </c>
      <c r="G551" s="87">
        <f>L528</f>
        <v>667305.53000000014</v>
      </c>
      <c r="H551" s="87">
        <f>L533</f>
        <v>66896.010000000009</v>
      </c>
      <c r="I551" s="87">
        <f>L538</f>
        <v>3256.64</v>
      </c>
      <c r="J551" s="87">
        <f>L543</f>
        <v>387457.3</v>
      </c>
      <c r="K551" s="87">
        <f>SUM(F551:J551)</f>
        <v>5979753.629999999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13207780.339999998</v>
      </c>
      <c r="G552" s="89">
        <f t="shared" si="42"/>
        <v>2892297.3000000003</v>
      </c>
      <c r="H552" s="89">
        <f t="shared" si="42"/>
        <v>187699.24000000002</v>
      </c>
      <c r="I552" s="89">
        <f t="shared" si="42"/>
        <v>9137.6</v>
      </c>
      <c r="J552" s="89">
        <f t="shared" si="42"/>
        <v>1123064.6400000001</v>
      </c>
      <c r="K552" s="89">
        <f t="shared" si="42"/>
        <v>17419979.119999997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f>267727.54</f>
        <v>267727.53999999998</v>
      </c>
      <c r="G562" s="18">
        <f>67736.03</f>
        <v>67736.03</v>
      </c>
      <c r="H562" s="18">
        <f>3418.62+7064.8</f>
        <v>10483.42</v>
      </c>
      <c r="I562" s="18">
        <f>584.04+1046.31</f>
        <v>1630.35</v>
      </c>
      <c r="J562" s="18"/>
      <c r="K562" s="18"/>
      <c r="L562" s="88">
        <f>SUM(F562:K562)</f>
        <v>347577.33999999991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f>139292.02</f>
        <v>139292.01999999999</v>
      </c>
      <c r="G563" s="18">
        <f>42913.44</f>
        <v>42913.440000000002</v>
      </c>
      <c r="H563" s="18">
        <f>1661.22+1220.38</f>
        <v>2881.6000000000004</v>
      </c>
      <c r="I563" s="18">
        <f>283.8+1044</f>
        <v>1327.8</v>
      </c>
      <c r="J563" s="18"/>
      <c r="K563" s="18"/>
      <c r="L563" s="88">
        <f>SUM(F563:K563)</f>
        <v>186414.86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f>194598.76</f>
        <v>194598.76</v>
      </c>
      <c r="G564" s="18">
        <f>73972.5</f>
        <v>73972.5</v>
      </c>
      <c r="H564" s="18">
        <f>2675.64+3687.76</f>
        <v>6363.4</v>
      </c>
      <c r="I564" s="18">
        <f>457.11+3145.5</f>
        <v>3602.61</v>
      </c>
      <c r="J564" s="18">
        <f>146</f>
        <v>146</v>
      </c>
      <c r="K564" s="18"/>
      <c r="L564" s="88">
        <f>SUM(F564:K564)</f>
        <v>278683.27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601618.31999999995</v>
      </c>
      <c r="G565" s="89">
        <f t="shared" si="44"/>
        <v>184621.97</v>
      </c>
      <c r="H565" s="89">
        <f t="shared" si="44"/>
        <v>19728.419999999998</v>
      </c>
      <c r="I565" s="89">
        <f t="shared" si="44"/>
        <v>6560.76</v>
      </c>
      <c r="J565" s="89">
        <f t="shared" si="44"/>
        <v>146</v>
      </c>
      <c r="K565" s="89">
        <f t="shared" si="44"/>
        <v>0</v>
      </c>
      <c r="L565" s="89">
        <f t="shared" si="44"/>
        <v>812675.47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601618.31999999995</v>
      </c>
      <c r="G571" s="89">
        <f t="shared" ref="G571:L571" si="46">G560+G565+G570</f>
        <v>184621.97</v>
      </c>
      <c r="H571" s="89">
        <f t="shared" si="46"/>
        <v>19728.419999999998</v>
      </c>
      <c r="I571" s="89">
        <f t="shared" si="46"/>
        <v>6560.76</v>
      </c>
      <c r="J571" s="89">
        <f t="shared" si="46"/>
        <v>146</v>
      </c>
      <c r="K571" s="89">
        <f t="shared" si="46"/>
        <v>0</v>
      </c>
      <c r="L571" s="89">
        <f t="shared" si="46"/>
        <v>812675.47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f>117.1</f>
        <v>117.1</v>
      </c>
      <c r="G579" s="18">
        <f>66653</f>
        <v>66653</v>
      </c>
      <c r="H579" s="18">
        <f>11811</f>
        <v>11811</v>
      </c>
      <c r="I579" s="87">
        <f t="shared" si="47"/>
        <v>78581.100000000006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f>75550.25</f>
        <v>75550.25</v>
      </c>
      <c r="G582" s="18">
        <f>522597.6</f>
        <v>522597.6</v>
      </c>
      <c r="H582" s="18">
        <f>928727.93</f>
        <v>928727.93</v>
      </c>
      <c r="I582" s="87">
        <f t="shared" si="47"/>
        <v>1526875.78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690187.14</v>
      </c>
      <c r="I591" s="18">
        <v>335385.86</v>
      </c>
      <c r="J591" s="18">
        <v>540187.31999999995</v>
      </c>
      <c r="K591" s="104">
        <f t="shared" ref="K591:K597" si="48">SUM(H591:J591)</f>
        <v>1565760.3199999998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495046.88</v>
      </c>
      <c r="I592" s="18">
        <v>240560.46</v>
      </c>
      <c r="J592" s="18">
        <v>387457.3</v>
      </c>
      <c r="K592" s="104">
        <f t="shared" si="48"/>
        <v>1123064.6399999999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>
        <v>2210.36</v>
      </c>
      <c r="I593" s="18">
        <v>1074.0899999999999</v>
      </c>
      <c r="J593" s="18">
        <v>4903.3500000000004</v>
      </c>
      <c r="K593" s="104">
        <f t="shared" si="48"/>
        <v>8187.8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>
        <v>4992.37</v>
      </c>
      <c r="I594" s="18">
        <v>28254.94</v>
      </c>
      <c r="J594" s="18">
        <v>118620.35</v>
      </c>
      <c r="K594" s="104">
        <f t="shared" si="48"/>
        <v>151867.66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4262.4799999999996</v>
      </c>
      <c r="I595" s="18">
        <f>7427.2+2339.26</f>
        <v>9766.4599999999991</v>
      </c>
      <c r="J595" s="18">
        <v>16780.439999999999</v>
      </c>
      <c r="K595" s="104">
        <f t="shared" si="48"/>
        <v>30809.379999999997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>
        <v>1638.71</v>
      </c>
      <c r="I596" s="18">
        <v>796.31</v>
      </c>
      <c r="J596" s="18">
        <v>1282.56</v>
      </c>
      <c r="K596" s="104">
        <f t="shared" si="48"/>
        <v>3717.58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>
        <f>12691.33+24419.52</f>
        <v>37110.85</v>
      </c>
      <c r="I597" s="18">
        <v>6167.16</v>
      </c>
      <c r="J597" s="18">
        <f>34352.62-24419.52</f>
        <v>9933.1000000000022</v>
      </c>
      <c r="K597" s="104">
        <f t="shared" si="48"/>
        <v>53211.11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1235448.7900000003</v>
      </c>
      <c r="I598" s="108">
        <f>SUM(I591:I597)</f>
        <v>622005.27999999991</v>
      </c>
      <c r="J598" s="108">
        <f>SUM(J591:J597)</f>
        <v>1079164.42</v>
      </c>
      <c r="K598" s="108">
        <f>SUM(K591:K597)</f>
        <v>2936618.4899999998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353888.71</v>
      </c>
      <c r="I604" s="18">
        <v>163967.31</v>
      </c>
      <c r="J604" s="18">
        <v>435274.21</v>
      </c>
      <c r="K604" s="104">
        <f>SUM(H604:J604)</f>
        <v>953130.23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353888.71</v>
      </c>
      <c r="I605" s="108">
        <f>SUM(I602:I604)</f>
        <v>163967.31</v>
      </c>
      <c r="J605" s="108">
        <f>SUM(J602:J604)</f>
        <v>435274.21</v>
      </c>
      <c r="K605" s="108">
        <f>SUM(K602:K604)</f>
        <v>953130.23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99431309.339999989</v>
      </c>
      <c r="H617" s="109">
        <f>SUM(F52)</f>
        <v>99431309.340000004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7340441.0999999996</v>
      </c>
      <c r="H618" s="109">
        <f>SUM(G52)</f>
        <v>7340441.1000000006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26459472.710000001</v>
      </c>
      <c r="H619" s="109">
        <f>SUM(H52)</f>
        <v>26459472.709999997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65981949.539999999</v>
      </c>
      <c r="H620" s="109">
        <f>SUM(I52)</f>
        <v>65981949.539999992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2281362.0499999998</v>
      </c>
      <c r="H621" s="109">
        <f>SUM(J52)</f>
        <v>2281362.0499999998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2656240.83</v>
      </c>
      <c r="H622" s="109">
        <f>F476</f>
        <v>2656240.8299999982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1713.15</v>
      </c>
      <c r="H623" s="109">
        <f>G476</f>
        <v>1713.1500000001397</v>
      </c>
      <c r="I623" s="121" t="s">
        <v>102</v>
      </c>
      <c r="J623" s="109">
        <f t="shared" si="50"/>
        <v>-1.3960743672214448E-10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265653.39999999927</v>
      </c>
      <c r="H624" s="109">
        <f>H476</f>
        <v>265653.39999999944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901596.17999999516</v>
      </c>
      <c r="H625" s="109">
        <f>I476</f>
        <v>901596.17999999993</v>
      </c>
      <c r="I625" s="121" t="s">
        <v>104</v>
      </c>
      <c r="J625" s="109">
        <f t="shared" si="50"/>
        <v>-4.7730281949043274E-9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4007876.3</v>
      </c>
      <c r="H626" s="109">
        <f>J476</f>
        <v>4007876.2999999993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71689368.00999999</v>
      </c>
      <c r="H627" s="104">
        <f>SUM(F468)</f>
        <v>71689368.010000005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1778411.28</v>
      </c>
      <c r="H628" s="104">
        <f>SUM(G468)</f>
        <v>1778411.28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4971193.2200000007</v>
      </c>
      <c r="H629" s="104">
        <f>SUM(H468)</f>
        <v>4971193.22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92411.19</v>
      </c>
      <c r="H630" s="104">
        <f>SUM(I468)</f>
        <v>92411.19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273598.18</v>
      </c>
      <c r="H631" s="104">
        <f>SUM(J468)</f>
        <v>273598.18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71225374.340000004</v>
      </c>
      <c r="H632" s="104">
        <f>SUM(F472)</f>
        <v>71225374.340000004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4907314.4600000009</v>
      </c>
      <c r="H633" s="104">
        <f>SUM(H472)</f>
        <v>4907314.46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869241.91999999993</v>
      </c>
      <c r="H634" s="104">
        <f>I369</f>
        <v>869241.91999999993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1654611.26</v>
      </c>
      <c r="H635" s="104">
        <f>SUM(G472)</f>
        <v>1654611.26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1252141.93</v>
      </c>
      <c r="H636" s="104">
        <f>SUM(I472)</f>
        <v>1252141.93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273598.18</v>
      </c>
      <c r="H637" s="164">
        <f>SUM(J468)</f>
        <v>273598.18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1331268.44</v>
      </c>
      <c r="H638" s="164">
        <f>SUM(J472)</f>
        <v>1331268.44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2281362.0499999998</v>
      </c>
      <c r="H640" s="104">
        <f>SUM(G461)</f>
        <v>2281362.0499999998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2281362.0499999998</v>
      </c>
      <c r="H642" s="104">
        <f>SUM(I461)</f>
        <v>2281362.0499999998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4289.0199999999995</v>
      </c>
      <c r="H644" s="104">
        <f>H408</f>
        <v>4289.0199999999995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237782.16</v>
      </c>
      <c r="H645" s="104">
        <f>G408</f>
        <v>237782.16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273598.18</v>
      </c>
      <c r="H646" s="104">
        <f>L408</f>
        <v>273598.18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2936618.4899999998</v>
      </c>
      <c r="H647" s="104">
        <f>L208+L226+L244</f>
        <v>2936618.49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953130.23</v>
      </c>
      <c r="H648" s="104">
        <f>(J257+J338)-(J255+J336)</f>
        <v>953130.23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1235448.79</v>
      </c>
      <c r="H649" s="104">
        <f>H598</f>
        <v>1235448.7900000003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622005.28</v>
      </c>
      <c r="H650" s="104">
        <f>I598</f>
        <v>622005.27999999991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1079164.4200000002</v>
      </c>
      <c r="H651" s="104">
        <f>J598</f>
        <v>1079164.42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252517.56</v>
      </c>
      <c r="H652" s="104">
        <f>K263+K345</f>
        <v>252517.56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237782.16</v>
      </c>
      <c r="H655" s="104">
        <f>K266+K347</f>
        <v>237782.16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29474678.319999997</v>
      </c>
      <c r="G660" s="19">
        <f>(L229+L309+L359)</f>
        <v>14624715.659999998</v>
      </c>
      <c r="H660" s="19">
        <f>(L247+L328+L360)</f>
        <v>25264505.140000004</v>
      </c>
      <c r="I660" s="19">
        <f>SUM(F660:H660)</f>
        <v>69363899.120000005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242006.52980386608</v>
      </c>
      <c r="G661" s="19">
        <f>(L359/IF(SUM(L358:L360)=0,1,SUM(L358:L360))*(SUM(G97:G110)))</f>
        <v>118865.45194625993</v>
      </c>
      <c r="H661" s="19">
        <f>(L360/IF(SUM(L358:L360)=0,1,SUM(L358:L360))*(SUM(G97:G110)))</f>
        <v>169286.52824987398</v>
      </c>
      <c r="I661" s="19">
        <f>SUM(F661:H661)</f>
        <v>530158.51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1266998.83</v>
      </c>
      <c r="G662" s="19">
        <f>(L226+L306)-(J226+J306)</f>
        <v>634450.65</v>
      </c>
      <c r="H662" s="19">
        <f>(L244+L325)-(J244+J325)</f>
        <v>1177301.4200000002</v>
      </c>
      <c r="I662" s="19">
        <f>SUM(F662:H662)</f>
        <v>3078750.9000000004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429556.06000000006</v>
      </c>
      <c r="G663" s="199">
        <f>SUM(G575:G587)+SUM(I602:I604)+L612</f>
        <v>753217.90999999992</v>
      </c>
      <c r="H663" s="199">
        <f>SUM(H575:H587)+SUM(J602:J604)+L613</f>
        <v>1375813.1400000001</v>
      </c>
      <c r="I663" s="19">
        <f>SUM(F663:H663)</f>
        <v>2558587.1100000003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27536116.900196131</v>
      </c>
      <c r="G664" s="19">
        <f>G660-SUM(G661:G663)</f>
        <v>13118181.648053739</v>
      </c>
      <c r="H664" s="19">
        <f>H660-SUM(H661:H663)</f>
        <v>22542104.051750131</v>
      </c>
      <c r="I664" s="19">
        <f>I660-SUM(I661:I663)</f>
        <v>63196402.600000001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1874.2</v>
      </c>
      <c r="G665" s="248">
        <v>1005.71</v>
      </c>
      <c r="H665" s="248">
        <v>1648.59</v>
      </c>
      <c r="I665" s="19">
        <f>SUM(F665:H665)</f>
        <v>4528.5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14692.2</v>
      </c>
      <c r="G667" s="19">
        <f>ROUND(G664/G665,2)</f>
        <v>13043.7</v>
      </c>
      <c r="H667" s="19">
        <f>ROUND(H664/H665,2)</f>
        <v>13673.57</v>
      </c>
      <c r="I667" s="19">
        <f>ROUND(I664/I665,2)</f>
        <v>13955.26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103.11</v>
      </c>
      <c r="I670" s="19">
        <f>SUM(F670:H670)</f>
        <v>103.11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14692.2</v>
      </c>
      <c r="G672" s="19">
        <f>ROUND((G664+G669)/(G665+G670),2)</f>
        <v>13043.7</v>
      </c>
      <c r="H672" s="19">
        <f>ROUND((H664+H669)/(H665+H670),2)</f>
        <v>12868.7</v>
      </c>
      <c r="I672" s="19">
        <f>ROUND((I664+I669)/(I665+I670),2)</f>
        <v>13644.59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78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/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Concord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19015712.899999999</v>
      </c>
      <c r="C9" s="229">
        <f>'DOE25'!G197+'DOE25'!G215+'DOE25'!G233+'DOE25'!G276+'DOE25'!G295+'DOE25'!G314</f>
        <v>7491233.4000000004</v>
      </c>
    </row>
    <row r="10" spans="1:3" x14ac:dyDescent="0.2">
      <c r="A10" t="s">
        <v>779</v>
      </c>
      <c r="B10" s="240">
        <v>17611797.949999999</v>
      </c>
      <c r="C10" s="240">
        <f>B10/B9*C9</f>
        <v>6938161.5998783587</v>
      </c>
    </row>
    <row r="11" spans="1:3" x14ac:dyDescent="0.2">
      <c r="A11" t="s">
        <v>780</v>
      </c>
      <c r="B11" s="240"/>
      <c r="C11" s="240">
        <f>B11/B9*C9</f>
        <v>0</v>
      </c>
    </row>
    <row r="12" spans="1:3" x14ac:dyDescent="0.2">
      <c r="A12" t="s">
        <v>781</v>
      </c>
      <c r="B12" s="240">
        <f>B9-B10-B11</f>
        <v>1403914.9499999993</v>
      </c>
      <c r="C12" s="240">
        <f>B12/B9*C9</f>
        <v>553071.80012164172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19015712.899999999</v>
      </c>
      <c r="C13" s="231">
        <f>SUM(C10:C12)</f>
        <v>7491233.4000000004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8119779.2300000004</v>
      </c>
      <c r="C18" s="229">
        <f>'DOE25'!G198+'DOE25'!G216+'DOE25'!G234+'DOE25'!G277+'DOE25'!G296+'DOE25'!G315</f>
        <v>2830550.6100000008</v>
      </c>
    </row>
    <row r="19" spans="1:3" x14ac:dyDescent="0.2">
      <c r="A19" t="s">
        <v>779</v>
      </c>
      <c r="B19" s="240">
        <v>4399627.42</v>
      </c>
      <c r="C19" s="240">
        <f>B19/B18*C18</f>
        <v>1533707.7184860518</v>
      </c>
    </row>
    <row r="20" spans="1:3" x14ac:dyDescent="0.2">
      <c r="A20" t="s">
        <v>780</v>
      </c>
      <c r="B20" s="240">
        <v>3194669.52</v>
      </c>
      <c r="C20" s="240">
        <f>B20/B18*C18</f>
        <v>1113660.0518859685</v>
      </c>
    </row>
    <row r="21" spans="1:3" x14ac:dyDescent="0.2">
      <c r="A21" t="s">
        <v>781</v>
      </c>
      <c r="B21" s="240">
        <f>B18-B19-B20</f>
        <v>525482.2900000005</v>
      </c>
      <c r="C21" s="240">
        <f>B21/B18*C18</f>
        <v>183182.83962798069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8119779.2300000004</v>
      </c>
      <c r="C22" s="231">
        <f>SUM(C19:C21)</f>
        <v>2830550.6100000008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777599.39</v>
      </c>
      <c r="C27" s="234">
        <f>'DOE25'!G199+'DOE25'!G217+'DOE25'!G235+'DOE25'!G278+'DOE25'!G297+'DOE25'!G316</f>
        <v>284241.98</v>
      </c>
    </row>
    <row r="28" spans="1:3" x14ac:dyDescent="0.2">
      <c r="A28" t="s">
        <v>779</v>
      </c>
      <c r="B28" s="240">
        <v>598560.94999999995</v>
      </c>
      <c r="C28" s="240">
        <f>B28/B27*C27</f>
        <v>218796.66029403772</v>
      </c>
    </row>
    <row r="29" spans="1:3" x14ac:dyDescent="0.2">
      <c r="A29" t="s">
        <v>780</v>
      </c>
      <c r="B29" s="240">
        <v>50535.9</v>
      </c>
      <c r="C29" s="240">
        <f>B29/B27*C27</f>
        <v>18472.782337293243</v>
      </c>
    </row>
    <row r="30" spans="1:3" x14ac:dyDescent="0.2">
      <c r="A30" t="s">
        <v>781</v>
      </c>
      <c r="B30" s="240">
        <f>B27-B28-B29</f>
        <v>128502.54000000007</v>
      </c>
      <c r="C30" s="240">
        <f>B30/B27*C27</f>
        <v>46972.537368668993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777599.39</v>
      </c>
      <c r="C31" s="231">
        <f>SUM(C28:C30)</f>
        <v>284241.97999999992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863267.56</v>
      </c>
      <c r="C36" s="235">
        <f>'DOE25'!G200+'DOE25'!G218+'DOE25'!G236+'DOE25'!G279+'DOE25'!G298+'DOE25'!G317</f>
        <v>170623.58000000002</v>
      </c>
    </row>
    <row r="37" spans="1:3" x14ac:dyDescent="0.2">
      <c r="A37" t="s">
        <v>779</v>
      </c>
      <c r="B37" s="240"/>
      <c r="C37" s="240">
        <f>B37/B36*C36</f>
        <v>0</v>
      </c>
    </row>
    <row r="38" spans="1:3" x14ac:dyDescent="0.2">
      <c r="A38" t="s">
        <v>780</v>
      </c>
      <c r="B38" s="240"/>
      <c r="C38" s="240">
        <f>B38/B36*C36</f>
        <v>0</v>
      </c>
    </row>
    <row r="39" spans="1:3" x14ac:dyDescent="0.2">
      <c r="A39" t="s">
        <v>781</v>
      </c>
      <c r="B39" s="240">
        <f>B36-B37-B38</f>
        <v>863267.56</v>
      </c>
      <c r="C39" s="240">
        <f>B39/B36*C36</f>
        <v>170623.58000000002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863267.56</v>
      </c>
      <c r="C40" s="231">
        <f>SUM(C37:C39)</f>
        <v>170623.58000000002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sqref="A1:H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Concord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40728517.199999996</v>
      </c>
      <c r="D5" s="20">
        <f>SUM('DOE25'!L197:L200)+SUM('DOE25'!L215:L218)+SUM('DOE25'!L233:L236)-F5-G5</f>
        <v>40647892.069999993</v>
      </c>
      <c r="E5" s="243"/>
      <c r="F5" s="255">
        <f>SUM('DOE25'!J197:J200)+SUM('DOE25'!J215:J218)+SUM('DOE25'!J233:J236)</f>
        <v>55299.92</v>
      </c>
      <c r="G5" s="53">
        <f>SUM('DOE25'!K197:K200)+SUM('DOE25'!K215:K218)+SUM('DOE25'!K233:K236)</f>
        <v>25325.21</v>
      </c>
      <c r="H5" s="259"/>
    </row>
    <row r="6" spans="1:9" x14ac:dyDescent="0.2">
      <c r="A6" s="32">
        <v>2100</v>
      </c>
      <c r="B6" t="s">
        <v>801</v>
      </c>
      <c r="C6" s="245">
        <f t="shared" si="0"/>
        <v>5101923.5200000005</v>
      </c>
      <c r="D6" s="20">
        <f>'DOE25'!L202+'DOE25'!L220+'DOE25'!L238-F6-G6</f>
        <v>5095529.6800000006</v>
      </c>
      <c r="E6" s="243"/>
      <c r="F6" s="255">
        <f>'DOE25'!J202+'DOE25'!J220+'DOE25'!J238</f>
        <v>6023.84</v>
      </c>
      <c r="G6" s="53">
        <f>'DOE25'!K202+'DOE25'!K220+'DOE25'!K238</f>
        <v>370</v>
      </c>
      <c r="H6" s="259"/>
    </row>
    <row r="7" spans="1:9" x14ac:dyDescent="0.2">
      <c r="A7" s="32">
        <v>2200</v>
      </c>
      <c r="B7" t="s">
        <v>834</v>
      </c>
      <c r="C7" s="245">
        <f t="shared" si="0"/>
        <v>2997427.37</v>
      </c>
      <c r="D7" s="20">
        <f>'DOE25'!L203+'DOE25'!L221+'DOE25'!L239-F7-G7</f>
        <v>2963183.74</v>
      </c>
      <c r="E7" s="243"/>
      <c r="F7" s="255">
        <f>'DOE25'!J203+'DOE25'!J221+'DOE25'!J239</f>
        <v>32921.65</v>
      </c>
      <c r="G7" s="53">
        <f>'DOE25'!K203+'DOE25'!K221+'DOE25'!K239</f>
        <v>1321.98</v>
      </c>
      <c r="H7" s="259"/>
    </row>
    <row r="8" spans="1:9" x14ac:dyDescent="0.2">
      <c r="A8" s="32">
        <v>2300</v>
      </c>
      <c r="B8" t="s">
        <v>802</v>
      </c>
      <c r="C8" s="245">
        <f t="shared" si="0"/>
        <v>321514.64999999991</v>
      </c>
      <c r="D8" s="243"/>
      <c r="E8" s="20">
        <f>'DOE25'!L204+'DOE25'!L222+'DOE25'!L240-F8-G8-D9-D11</f>
        <v>310812.75999999989</v>
      </c>
      <c r="F8" s="255">
        <f>'DOE25'!J204+'DOE25'!J222+'DOE25'!J240</f>
        <v>0.99</v>
      </c>
      <c r="G8" s="53">
        <f>'DOE25'!K204+'DOE25'!K222+'DOE25'!K240</f>
        <v>10700.9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20003.28</v>
      </c>
      <c r="D9" s="244">
        <v>20003.28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37000</v>
      </c>
      <c r="D10" s="243"/>
      <c r="E10" s="244">
        <v>37000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548765.26</v>
      </c>
      <c r="D11" s="244">
        <f>243621.52+75056.73+118495+41760.58+42282+27549.43</f>
        <v>548765.26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3388062.63</v>
      </c>
      <c r="D12" s="20">
        <f>'DOE25'!L205+'DOE25'!L223+'DOE25'!L241-F12-G12</f>
        <v>3370620.73</v>
      </c>
      <c r="E12" s="243"/>
      <c r="F12" s="255">
        <f>'DOE25'!J205+'DOE25'!J223+'DOE25'!J241</f>
        <v>2498.9</v>
      </c>
      <c r="G12" s="53">
        <f>'DOE25'!K205+'DOE25'!K223+'DOE25'!K241</f>
        <v>14943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616808.53999999992</v>
      </c>
      <c r="D13" s="243"/>
      <c r="E13" s="20">
        <f>'DOE25'!L206+'DOE25'!L224+'DOE25'!L242-F13-G13</f>
        <v>613639.53999999992</v>
      </c>
      <c r="F13" s="255">
        <f>'DOE25'!J206+'DOE25'!J224+'DOE25'!J242</f>
        <v>1000</v>
      </c>
      <c r="G13" s="53">
        <f>'DOE25'!K206+'DOE25'!K224+'DOE25'!K242</f>
        <v>2169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6032893.1400000006</v>
      </c>
      <c r="D14" s="20">
        <f>'DOE25'!L207+'DOE25'!L225+'DOE25'!L243-F14-G14</f>
        <v>5911745.1300000008</v>
      </c>
      <c r="E14" s="243"/>
      <c r="F14" s="255">
        <f>'DOE25'!J207+'DOE25'!J225+'DOE25'!J243</f>
        <v>121026.01</v>
      </c>
      <c r="G14" s="53">
        <f>'DOE25'!K207+'DOE25'!K225+'DOE25'!K243</f>
        <v>122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2936618.49</v>
      </c>
      <c r="D15" s="20">
        <f>'DOE25'!L208+'DOE25'!L226+'DOE25'!L244-F15-G15</f>
        <v>2925902.49</v>
      </c>
      <c r="E15" s="243"/>
      <c r="F15" s="255">
        <f>'DOE25'!J208+'DOE25'!J226+'DOE25'!J244</f>
        <v>8527</v>
      </c>
      <c r="G15" s="53">
        <f>'DOE25'!K208+'DOE25'!K226+'DOE25'!K244</f>
        <v>2189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465380.56000000006</v>
      </c>
      <c r="D16" s="243"/>
      <c r="E16" s="20">
        <f>'DOE25'!L209+'DOE25'!L227+'DOE25'!L245-F16-G16</f>
        <v>465380.56000000006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339351.73</v>
      </c>
      <c r="D17" s="20">
        <f>'DOE25'!L251-F17-G17</f>
        <v>332375.67999999999</v>
      </c>
      <c r="E17" s="243"/>
      <c r="F17" s="255">
        <f>'DOE25'!J251</f>
        <v>0</v>
      </c>
      <c r="G17" s="53">
        <f>'DOE25'!K251</f>
        <v>6976.05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493417.49</v>
      </c>
      <c r="D22" s="243"/>
      <c r="E22" s="243"/>
      <c r="F22" s="255">
        <f>'DOE25'!L255+'DOE25'!L336</f>
        <v>493417.49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6763344.7599999998</v>
      </c>
      <c r="D25" s="243"/>
      <c r="E25" s="243"/>
      <c r="F25" s="258"/>
      <c r="G25" s="256"/>
      <c r="H25" s="257">
        <f>'DOE25'!L260+'DOE25'!L261+'DOE25'!L341+'DOE25'!L342</f>
        <v>6763344.7599999998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855423.59000000008</v>
      </c>
      <c r="D29" s="20">
        <f>'DOE25'!L358+'DOE25'!L359+'DOE25'!L360-'DOE25'!I367-F29-G29</f>
        <v>853082.3</v>
      </c>
      <c r="E29" s="243"/>
      <c r="F29" s="255">
        <f>'DOE25'!J358+'DOE25'!J359+'DOE25'!J360</f>
        <v>972.03</v>
      </c>
      <c r="G29" s="53">
        <f>'DOE25'!K358+'DOE25'!K359+'DOE25'!K360</f>
        <v>1369.26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4769147.8900000006</v>
      </c>
      <c r="D31" s="20">
        <f>'DOE25'!L290+'DOE25'!L309+'DOE25'!L328+'DOE25'!L333+'DOE25'!L334+'DOE25'!L335-F31-G31</f>
        <v>4031188.4600000009</v>
      </c>
      <c r="E31" s="243"/>
      <c r="F31" s="255">
        <f>'DOE25'!J290+'DOE25'!J309+'DOE25'!J328+'DOE25'!J333+'DOE25'!J334+'DOE25'!J335</f>
        <v>725831.91999999993</v>
      </c>
      <c r="G31" s="53">
        <f>'DOE25'!K290+'DOE25'!K309+'DOE25'!K328+'DOE25'!K333+'DOE25'!K334+'DOE25'!K335</f>
        <v>12127.51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66700288.819999993</v>
      </c>
      <c r="E33" s="246">
        <f>SUM(E5:E31)</f>
        <v>1426832.8599999999</v>
      </c>
      <c r="F33" s="246">
        <f>SUM(F5:F31)</f>
        <v>1447519.75</v>
      </c>
      <c r="G33" s="246">
        <f>SUM(G5:G31)</f>
        <v>77613.91</v>
      </c>
      <c r="H33" s="246">
        <f>SUM(H5:H31)</f>
        <v>6763344.7599999998</v>
      </c>
    </row>
    <row r="35" spans="2:8" ht="12" thickBot="1" x14ac:dyDescent="0.25">
      <c r="B35" s="253" t="s">
        <v>847</v>
      </c>
      <c r="D35" s="254">
        <f>E33</f>
        <v>1426832.8599999999</v>
      </c>
      <c r="E35" s="249"/>
    </row>
    <row r="36" spans="2:8" ht="12" thickTop="1" x14ac:dyDescent="0.2">
      <c r="B36" t="s">
        <v>815</v>
      </c>
      <c r="D36" s="20">
        <f>D33</f>
        <v>66700288.819999993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Concord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1184934.3899999999</v>
      </c>
      <c r="D8" s="95">
        <f>'DOE25'!G9</f>
        <v>-14861.48</v>
      </c>
      <c r="E8" s="95">
        <f>'DOE25'!H9</f>
        <v>-200340.99</v>
      </c>
      <c r="F8" s="95">
        <f>'DOE25'!I9</f>
        <v>191166.04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30359.54</v>
      </c>
      <c r="F9" s="95">
        <f>'DOE25'!I10</f>
        <v>907269.13</v>
      </c>
      <c r="G9" s="95">
        <f>'DOE25'!J10</f>
        <v>3985246.8499999996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97101043.769999996</v>
      </c>
      <c r="D11" s="95">
        <f>'DOE25'!G12</f>
        <v>6882585.1399999997</v>
      </c>
      <c r="E11" s="95">
        <f>'DOE25'!H12</f>
        <v>25806360.350000001</v>
      </c>
      <c r="F11" s="95">
        <f>'DOE25'!I12</f>
        <v>64883514.369999997</v>
      </c>
      <c r="G11" s="95">
        <f>'DOE25'!J12</f>
        <v>-1703884.8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1029549.57</v>
      </c>
      <c r="D13" s="95">
        <f>'DOE25'!G14</f>
        <v>410448.52</v>
      </c>
      <c r="E13" s="95">
        <f>'DOE25'!H14</f>
        <v>823093.81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19481.61</v>
      </c>
      <c r="D15" s="95">
        <f>'DOE25'!G16</f>
        <v>62268.92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96300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99431309.339999989</v>
      </c>
      <c r="D18" s="41">
        <f>SUM(D8:D17)</f>
        <v>7340441.0999999996</v>
      </c>
      <c r="E18" s="41">
        <f>SUM(E8:E17)</f>
        <v>26459472.710000001</v>
      </c>
      <c r="F18" s="41">
        <f>SUM(F8:F17)</f>
        <v>65981949.539999999</v>
      </c>
      <c r="G18" s="41">
        <f>SUM(G8:G17)</f>
        <v>2281362.0499999998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96155279.540000007</v>
      </c>
      <c r="D21" s="95">
        <f>'DOE25'!G22</f>
        <v>7286741.8200000003</v>
      </c>
      <c r="E21" s="95">
        <f>'DOE25'!H22</f>
        <v>26173738.710000001</v>
      </c>
      <c r="F21" s="95">
        <f>'DOE25'!I22</f>
        <v>65080353.359999999</v>
      </c>
      <c r="G21" s="95">
        <f>'DOE25'!J22</f>
        <v>-1726514.25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1667.08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382806.5</v>
      </c>
      <c r="D27" s="95">
        <f>'DOE25'!G28</f>
        <v>23837.99</v>
      </c>
      <c r="E27" s="95">
        <f>'DOE25'!H28</f>
        <v>9862.2900000000009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217987.24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17328.150000000001</v>
      </c>
      <c r="D29" s="95">
        <f>'DOE25'!G30</f>
        <v>28148.14</v>
      </c>
      <c r="E29" s="95">
        <f>'DOE25'!H30</f>
        <v>10218.31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96775068.510000005</v>
      </c>
      <c r="D31" s="41">
        <f>SUM(D21:D30)</f>
        <v>7338727.9500000002</v>
      </c>
      <c r="E31" s="41">
        <f>SUM(E21:E30)</f>
        <v>26193819.309999999</v>
      </c>
      <c r="F31" s="41">
        <f>SUM(F21:F30)</f>
        <v>65080353.359999999</v>
      </c>
      <c r="G31" s="41">
        <f>SUM(G21:G30)</f>
        <v>-1726514.25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409512.38</v>
      </c>
      <c r="D44" s="95">
        <f>'DOE25'!G45</f>
        <v>3213.15</v>
      </c>
      <c r="E44" s="95">
        <f>'DOE25'!H45</f>
        <v>374405.95</v>
      </c>
      <c r="F44" s="95">
        <f>'DOE25'!I45</f>
        <v>27654.32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19481.61</v>
      </c>
      <c r="D47" s="95">
        <f>'DOE25'!G48</f>
        <v>-1500</v>
      </c>
      <c r="E47" s="95">
        <f>'DOE25'!H48</f>
        <v>-108752.55000000075</v>
      </c>
      <c r="F47" s="95">
        <f>'DOE25'!I48</f>
        <v>873941.85999999521</v>
      </c>
      <c r="G47" s="95">
        <f>'DOE25'!J48</f>
        <v>4004817.3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3059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2227246.84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2656240.83</v>
      </c>
      <c r="D50" s="41">
        <f>SUM(D34:D49)</f>
        <v>1713.15</v>
      </c>
      <c r="E50" s="41">
        <f>SUM(E34:E49)</f>
        <v>265653.39999999927</v>
      </c>
      <c r="F50" s="41">
        <f>SUM(F34:F49)</f>
        <v>901596.17999999516</v>
      </c>
      <c r="G50" s="41">
        <f>SUM(G34:G49)</f>
        <v>4007876.3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99431309.340000004</v>
      </c>
      <c r="D51" s="41">
        <f>D50+D31</f>
        <v>7340441.1000000006</v>
      </c>
      <c r="E51" s="41">
        <f>E50+E31</f>
        <v>26459472.709999997</v>
      </c>
      <c r="F51" s="41">
        <f>F50+F31</f>
        <v>65981949.539999992</v>
      </c>
      <c r="G51" s="41">
        <f>G50+G31</f>
        <v>2281362.0499999998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39593999.200000003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3909302.05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234071.31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2328.4699999999998</v>
      </c>
      <c r="D59" s="95">
        <f>'DOE25'!G96</f>
        <v>14.5</v>
      </c>
      <c r="E59" s="95">
        <f>'DOE25'!H96</f>
        <v>42.03</v>
      </c>
      <c r="F59" s="95">
        <f>'DOE25'!I96</f>
        <v>1601.3</v>
      </c>
      <c r="G59" s="95">
        <f>'DOE25'!J96</f>
        <v>4289.0199999999995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525485.26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396776.91000000003</v>
      </c>
      <c r="D61" s="95">
        <f>SUM('DOE25'!G98:G110)</f>
        <v>4673.25</v>
      </c>
      <c r="E61" s="95">
        <f>SUM('DOE25'!H98:H110)</f>
        <v>85040.19</v>
      </c>
      <c r="F61" s="95">
        <f>SUM('DOE25'!I98:I110)</f>
        <v>0</v>
      </c>
      <c r="G61" s="95">
        <f>SUM('DOE25'!J98:J110)</f>
        <v>31527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4542478.74</v>
      </c>
      <c r="D62" s="130">
        <f>SUM(D57:D61)</f>
        <v>530173.01</v>
      </c>
      <c r="E62" s="130">
        <f>SUM(E57:E61)</f>
        <v>85082.22</v>
      </c>
      <c r="F62" s="130">
        <f>SUM(F57:F61)</f>
        <v>1601.3</v>
      </c>
      <c r="G62" s="130">
        <f>SUM(G57:G61)</f>
        <v>35816.019999999997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44136477.940000005</v>
      </c>
      <c r="D63" s="22">
        <f>D56+D62</f>
        <v>530173.01</v>
      </c>
      <c r="E63" s="22">
        <f>E56+E62</f>
        <v>85082.22</v>
      </c>
      <c r="F63" s="22">
        <f>F56+F62</f>
        <v>1601.3</v>
      </c>
      <c r="G63" s="22">
        <f>G56+G62</f>
        <v>35816.019999999997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12647490.800000001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8607574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30695.09</v>
      </c>
      <c r="D69" s="95">
        <f>'DOE25'!G120</f>
        <v>0</v>
      </c>
      <c r="E69" s="95">
        <f>'DOE25'!H120</f>
        <v>7000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21285759.890000001</v>
      </c>
      <c r="D70" s="139">
        <f>D69</f>
        <v>0</v>
      </c>
      <c r="E70" s="139">
        <f>E69</f>
        <v>7000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1383508.27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351548.34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1027863.73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22059.26</v>
      </c>
      <c r="E77" s="95">
        <f>SUM('DOE25'!H131:H135)</f>
        <v>210339.31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2762920.34</v>
      </c>
      <c r="D78" s="130">
        <f>SUM(D72:D77)</f>
        <v>22059.26</v>
      </c>
      <c r="E78" s="130">
        <f>SUM(E72:E77)</f>
        <v>210339.31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24048680.23</v>
      </c>
      <c r="D81" s="130">
        <f>SUM(D79:D80)+D78+D70</f>
        <v>22059.26</v>
      </c>
      <c r="E81" s="130">
        <f>SUM(E79:E80)+E78+E70</f>
        <v>217339.31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862223.11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1294197.1600000001</v>
      </c>
      <c r="D88" s="95">
        <f>SUM('DOE25'!G153:G161)</f>
        <v>973661.45</v>
      </c>
      <c r="E88" s="95">
        <f>SUM('DOE25'!H153:H161)</f>
        <v>4075236.6900000004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2156420.27</v>
      </c>
      <c r="D91" s="131">
        <f>SUM(D85:D90)</f>
        <v>973661.45</v>
      </c>
      <c r="E91" s="131">
        <f>SUM(E85:E90)</f>
        <v>4075236.6900000004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252517.56</v>
      </c>
      <c r="E96" s="95">
        <f>'DOE25'!H179</f>
        <v>0</v>
      </c>
      <c r="F96" s="95">
        <f>'DOE25'!I179</f>
        <v>0</v>
      </c>
      <c r="G96" s="95">
        <f>'DOE25'!J179</f>
        <v>237782.16</v>
      </c>
    </row>
    <row r="97" spans="1:7" x14ac:dyDescent="0.2">
      <c r="A97" t="s">
        <v>758</v>
      </c>
      <c r="B97" s="32" t="s">
        <v>188</v>
      </c>
      <c r="C97" s="95">
        <f>SUM('DOE25'!F180:F181)</f>
        <v>119227.57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1228562</v>
      </c>
      <c r="D100" s="95">
        <f>SUM('DOE25'!G186:G187)</f>
        <v>0</v>
      </c>
      <c r="E100" s="95">
        <f>SUM('DOE25'!H186:H187)</f>
        <v>0</v>
      </c>
      <c r="F100" s="95">
        <f>SUM('DOE25'!I186:I187)</f>
        <v>90809.89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593535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1347789.57</v>
      </c>
      <c r="D103" s="86">
        <f>SUM(D93:D102)</f>
        <v>252517.56</v>
      </c>
      <c r="E103" s="86">
        <f>SUM(E93:E102)</f>
        <v>593535</v>
      </c>
      <c r="F103" s="86">
        <f>SUM(F93:F102)</f>
        <v>90809.89</v>
      </c>
      <c r="G103" s="86">
        <f>SUM(G93:G102)</f>
        <v>237782.16</v>
      </c>
    </row>
    <row r="104" spans="1:7" ht="12.75" thickTop="1" thickBot="1" x14ac:dyDescent="0.25">
      <c r="A104" s="33" t="s">
        <v>765</v>
      </c>
      <c r="C104" s="86">
        <f>C63+C81+C91+C103</f>
        <v>71689368.00999999</v>
      </c>
      <c r="D104" s="86">
        <f>D63+D81+D91+D103</f>
        <v>1778411.28</v>
      </c>
      <c r="E104" s="86">
        <f>E63+E81+E91+E103</f>
        <v>4971193.2200000007</v>
      </c>
      <c r="F104" s="86">
        <f>F63+F81+F91+F103</f>
        <v>92411.19</v>
      </c>
      <c r="G104" s="86">
        <f>G63+G81+G103</f>
        <v>273598.18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26704137.529999997</v>
      </c>
      <c r="D109" s="24" t="s">
        <v>289</v>
      </c>
      <c r="E109" s="95">
        <f>('DOE25'!L276)+('DOE25'!L295)+('DOE25'!L314)</f>
        <v>916920.33000000007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12138023.32</v>
      </c>
      <c r="D110" s="24" t="s">
        <v>289</v>
      </c>
      <c r="E110" s="95">
        <f>('DOE25'!L277)+('DOE25'!L296)+('DOE25'!L315)</f>
        <v>1166644.9400000002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1017496.2399999999</v>
      </c>
      <c r="D111" s="24" t="s">
        <v>289</v>
      </c>
      <c r="E111" s="95">
        <f>('DOE25'!L278)+('DOE25'!L297)+('DOE25'!L316)</f>
        <v>193506.61000000002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868860.10999999987</v>
      </c>
      <c r="D112" s="24" t="s">
        <v>289</v>
      </c>
      <c r="E112" s="95">
        <f>+('DOE25'!L279)+('DOE25'!L298)+('DOE25'!L317)</f>
        <v>403282.82999999996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339351.73</v>
      </c>
      <c r="D114" s="24" t="s">
        <v>289</v>
      </c>
      <c r="E114" s="95">
        <f>+ SUM('DOE25'!L333:L335)</f>
        <v>217774.67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41067868.929999992</v>
      </c>
      <c r="D115" s="86">
        <f>SUM(D109:D114)</f>
        <v>0</v>
      </c>
      <c r="E115" s="86">
        <f>SUM(E109:E114)</f>
        <v>2898129.3800000004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5101923.5200000005</v>
      </c>
      <c r="D118" s="24" t="s">
        <v>289</v>
      </c>
      <c r="E118" s="95">
        <f>+('DOE25'!L281)+('DOE25'!L300)+('DOE25'!L319)</f>
        <v>295405.71000000002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2997427.37</v>
      </c>
      <c r="D119" s="24" t="s">
        <v>289</v>
      </c>
      <c r="E119" s="95">
        <f>+('DOE25'!L282)+('DOE25'!L301)+('DOE25'!L320)</f>
        <v>1027255.56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890283.19</v>
      </c>
      <c r="D120" s="24" t="s">
        <v>289</v>
      </c>
      <c r="E120" s="95">
        <f>+('DOE25'!L283)+('DOE25'!L302)+('DOE25'!L321)</f>
        <v>397697.82999999996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3388062.63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616808.53999999992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6032893.1400000006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2936618.49</v>
      </c>
      <c r="D124" s="24" t="s">
        <v>289</v>
      </c>
      <c r="E124" s="95">
        <f>+('DOE25'!L287)+('DOE25'!L306)+('DOE25'!L325)</f>
        <v>150659.41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465380.56000000006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1654611.26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22429397.440000001</v>
      </c>
      <c r="D128" s="86">
        <f>SUM(D118:D127)</f>
        <v>1654611.26</v>
      </c>
      <c r="E128" s="86">
        <f>SUM(E118:E127)</f>
        <v>1871018.51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474463.49</v>
      </c>
      <c r="D130" s="24" t="s">
        <v>289</v>
      </c>
      <c r="E130" s="129">
        <f>'DOE25'!L336</f>
        <v>18954</v>
      </c>
      <c r="F130" s="129">
        <f>SUM('DOE25'!L374:'DOE25'!L380)</f>
        <v>1252141.93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3834885.51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2928459.25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119212.57</v>
      </c>
      <c r="F134" s="95">
        <f>'DOE25'!K381</f>
        <v>0</v>
      </c>
      <c r="G134" s="95">
        <f>'DOE25'!K434</f>
        <v>1319371.8899999999</v>
      </c>
    </row>
    <row r="135" spans="1:7" x14ac:dyDescent="0.2">
      <c r="A135" t="s">
        <v>233</v>
      </c>
      <c r="B135" s="32" t="s">
        <v>234</v>
      </c>
      <c r="C135" s="95">
        <f>'DOE25'!L263</f>
        <v>252517.56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273598.18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-35816.01999999999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7728107.9699999997</v>
      </c>
      <c r="D144" s="141">
        <f>SUM(D130:D143)</f>
        <v>0</v>
      </c>
      <c r="E144" s="141">
        <f>SUM(E130:E143)</f>
        <v>138166.57</v>
      </c>
      <c r="F144" s="141">
        <f>SUM(F130:F143)</f>
        <v>1252141.93</v>
      </c>
      <c r="G144" s="141">
        <f>SUM(G130:G143)</f>
        <v>1319371.8899999999</v>
      </c>
    </row>
    <row r="145" spans="1:9" ht="12.75" thickTop="1" thickBot="1" x14ac:dyDescent="0.25">
      <c r="A145" s="33" t="s">
        <v>244</v>
      </c>
      <c r="C145" s="86">
        <f>(C115+C128+C144)</f>
        <v>71225374.339999989</v>
      </c>
      <c r="D145" s="86">
        <f>(D115+D128+D144)</f>
        <v>1654611.26</v>
      </c>
      <c r="E145" s="86">
        <f>(E115+E128+E144)</f>
        <v>4907314.4600000009</v>
      </c>
      <c r="F145" s="86">
        <f>(F115+F128+F144)</f>
        <v>1252141.93</v>
      </c>
      <c r="G145" s="86">
        <f>(G115+G128+G144)</f>
        <v>1319371.8899999999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11/91 - 12/10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04/40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33198041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 t="str">
        <f>'DOE25'!F494</f>
        <v>See attached page for details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56476940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56476940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3756905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3756905</v>
      </c>
    </row>
    <row r="159" spans="1:9" x14ac:dyDescent="0.2">
      <c r="A159" s="22" t="s">
        <v>35</v>
      </c>
      <c r="B159" s="137">
        <f>'DOE25'!F498</f>
        <v>52720035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52720035</v>
      </c>
    </row>
    <row r="160" spans="1:9" x14ac:dyDescent="0.2">
      <c r="A160" s="22" t="s">
        <v>36</v>
      </c>
      <c r="B160" s="137">
        <f>'DOE25'!F499</f>
        <v>24290834.07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24290834.07</v>
      </c>
    </row>
    <row r="161" spans="1:7" x14ac:dyDescent="0.2">
      <c r="A161" s="22" t="s">
        <v>37</v>
      </c>
      <c r="B161" s="137">
        <f>'DOE25'!F500</f>
        <v>77010869.069999993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77010869.069999993</v>
      </c>
    </row>
    <row r="162" spans="1:7" x14ac:dyDescent="0.2">
      <c r="A162" s="22" t="s">
        <v>38</v>
      </c>
      <c r="B162" s="137">
        <f>'DOE25'!F501</f>
        <v>2743450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2743450</v>
      </c>
    </row>
    <row r="163" spans="1:7" x14ac:dyDescent="0.2">
      <c r="A163" s="22" t="s">
        <v>39</v>
      </c>
      <c r="B163" s="137">
        <f>'DOE25'!F502</f>
        <v>1931492.2600000002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1931492.2600000002</v>
      </c>
    </row>
    <row r="164" spans="1:7" x14ac:dyDescent="0.2">
      <c r="A164" s="22" t="s">
        <v>246</v>
      </c>
      <c r="B164" s="137">
        <f>'DOE25'!F503</f>
        <v>4674942.26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4674942.26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sqref="A1:D1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Concord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14692</v>
      </c>
    </row>
    <row r="5" spans="1:4" x14ac:dyDescent="0.2">
      <c r="B5" t="s">
        <v>704</v>
      </c>
      <c r="C5" s="179">
        <f>IF('DOE25'!G665+'DOE25'!G670=0,0,ROUND('DOE25'!G672,0))</f>
        <v>13044</v>
      </c>
    </row>
    <row r="6" spans="1:4" x14ac:dyDescent="0.2">
      <c r="B6" t="s">
        <v>62</v>
      </c>
      <c r="C6" s="179">
        <f>IF('DOE25'!H665+'DOE25'!H670=0,0,ROUND('DOE25'!H672,0))</f>
        <v>12869</v>
      </c>
    </row>
    <row r="7" spans="1:4" x14ac:dyDescent="0.2">
      <c r="B7" t="s">
        <v>705</v>
      </c>
      <c r="C7" s="179">
        <f>IF('DOE25'!I665+'DOE25'!I670=0,0,ROUND('DOE25'!I672,0))</f>
        <v>13645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27621058</v>
      </c>
      <c r="D10" s="182">
        <f>ROUND((C10/$C$28)*100,1)</f>
        <v>38.200000000000003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13304668</v>
      </c>
      <c r="D11" s="182">
        <f>ROUND((C11/$C$28)*100,1)</f>
        <v>18.399999999999999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1211003</v>
      </c>
      <c r="D12" s="182">
        <f>ROUND((C12/$C$28)*100,1)</f>
        <v>1.7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1272143</v>
      </c>
      <c r="D13" s="182">
        <f>ROUND((C13/$C$28)*100,1)</f>
        <v>1.8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5397329</v>
      </c>
      <c r="D15" s="182">
        <f t="shared" ref="D15:D27" si="0">ROUND((C15/$C$28)*100,1)</f>
        <v>7.5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4024683</v>
      </c>
      <c r="D16" s="182">
        <f t="shared" si="0"/>
        <v>5.6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1753362</v>
      </c>
      <c r="D17" s="182">
        <f t="shared" si="0"/>
        <v>2.4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3388063</v>
      </c>
      <c r="D18" s="182">
        <f t="shared" si="0"/>
        <v>4.7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616809</v>
      </c>
      <c r="D19" s="182">
        <f t="shared" si="0"/>
        <v>0.9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6032893</v>
      </c>
      <c r="D20" s="182">
        <f t="shared" si="0"/>
        <v>8.3000000000000007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3087278</v>
      </c>
      <c r="D21" s="182">
        <f t="shared" si="0"/>
        <v>4.3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557126</v>
      </c>
      <c r="D24" s="182">
        <f t="shared" si="0"/>
        <v>0.8</v>
      </c>
    </row>
    <row r="25" spans="1:4" x14ac:dyDescent="0.2">
      <c r="A25">
        <v>5120</v>
      </c>
      <c r="B25" t="s">
        <v>720</v>
      </c>
      <c r="C25" s="179">
        <f>ROUND('DOE25'!L261+'DOE25'!L342,0)</f>
        <v>2928459</v>
      </c>
      <c r="D25" s="182">
        <f t="shared" si="0"/>
        <v>4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1124452.49</v>
      </c>
      <c r="D27" s="182">
        <f t="shared" si="0"/>
        <v>1.6</v>
      </c>
    </row>
    <row r="28" spans="1:4" x14ac:dyDescent="0.2">
      <c r="B28" s="187" t="s">
        <v>723</v>
      </c>
      <c r="C28" s="180">
        <f>SUM(C10:C27)</f>
        <v>72319326.489999995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1745559</v>
      </c>
    </row>
    <row r="30" spans="1:4" x14ac:dyDescent="0.2">
      <c r="B30" s="187" t="s">
        <v>729</v>
      </c>
      <c r="C30" s="180">
        <f>SUM(C28:C29)</f>
        <v>74064885.489999995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3834886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39593999</v>
      </c>
      <c r="D35" s="182">
        <f t="shared" ref="D35:D40" si="1">ROUND((C35/$C$41)*100,1)</f>
        <v>51.9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4664992.9800000042</v>
      </c>
      <c r="D36" s="182">
        <f t="shared" si="1"/>
        <v>6.1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21255065</v>
      </c>
      <c r="D37" s="182">
        <f t="shared" si="1"/>
        <v>27.8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3033014</v>
      </c>
      <c r="D38" s="182">
        <f t="shared" si="1"/>
        <v>4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7205318</v>
      </c>
      <c r="D39" s="182">
        <f t="shared" si="1"/>
        <v>9.4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593535</v>
      </c>
      <c r="D40" s="182">
        <f t="shared" si="1"/>
        <v>0.8</v>
      </c>
    </row>
    <row r="41" spans="1:4" x14ac:dyDescent="0.2">
      <c r="B41" s="187" t="s">
        <v>736</v>
      </c>
      <c r="C41" s="180">
        <f>SUM(C35:C40)</f>
        <v>76345923.980000004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7" t="s">
        <v>770</v>
      </c>
      <c r="B1" s="288"/>
      <c r="C1" s="288"/>
      <c r="D1" s="288"/>
      <c r="E1" s="288"/>
      <c r="F1" s="288"/>
      <c r="G1" s="288"/>
      <c r="H1" s="288"/>
      <c r="I1" s="288"/>
      <c r="J1" s="213"/>
      <c r="K1" s="213"/>
      <c r="L1" s="213"/>
      <c r="M1" s="214"/>
    </row>
    <row r="2" spans="1:26" ht="12.75" x14ac:dyDescent="0.2">
      <c r="A2" s="293" t="s">
        <v>767</v>
      </c>
      <c r="B2" s="294"/>
      <c r="C2" s="294"/>
      <c r="D2" s="294"/>
      <c r="E2" s="294"/>
      <c r="F2" s="291" t="str">
        <f>'DOE25'!A2</f>
        <v>Concord</v>
      </c>
      <c r="G2" s="292"/>
      <c r="H2" s="292"/>
      <c r="I2" s="292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89" t="s">
        <v>771</v>
      </c>
      <c r="D3" s="289"/>
      <c r="E3" s="289"/>
      <c r="F3" s="289"/>
      <c r="G3" s="289"/>
      <c r="H3" s="289"/>
      <c r="I3" s="289"/>
      <c r="J3" s="289"/>
      <c r="K3" s="289"/>
      <c r="L3" s="289"/>
      <c r="M3" s="290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84"/>
      <c r="Q29" s="284"/>
      <c r="R29" s="284"/>
      <c r="S29" s="284"/>
      <c r="T29" s="284"/>
      <c r="U29" s="284"/>
      <c r="V29" s="284"/>
      <c r="W29" s="284"/>
      <c r="X29" s="284"/>
      <c r="Y29" s="284"/>
      <c r="Z29" s="284"/>
      <c r="AA29" s="207"/>
      <c r="AB29" s="207"/>
      <c r="AC29" s="283"/>
      <c r="AD29" s="283"/>
      <c r="AE29" s="283"/>
      <c r="AF29" s="283"/>
      <c r="AG29" s="283"/>
      <c r="AH29" s="283"/>
      <c r="AI29" s="283"/>
      <c r="AJ29" s="283"/>
      <c r="AK29" s="283"/>
      <c r="AL29" s="283"/>
      <c r="AM29" s="283"/>
      <c r="AN29" s="207"/>
      <c r="AO29" s="207"/>
      <c r="AP29" s="283"/>
      <c r="AQ29" s="283"/>
      <c r="AR29" s="283"/>
      <c r="AS29" s="283"/>
      <c r="AT29" s="283"/>
      <c r="AU29" s="283"/>
      <c r="AV29" s="283"/>
      <c r="AW29" s="283"/>
      <c r="AX29" s="283"/>
      <c r="AY29" s="283"/>
      <c r="AZ29" s="283"/>
      <c r="BA29" s="207"/>
      <c r="BB29" s="207"/>
      <c r="BC29" s="283"/>
      <c r="BD29" s="283"/>
      <c r="BE29" s="283"/>
      <c r="BF29" s="283"/>
      <c r="BG29" s="283"/>
      <c r="BH29" s="283"/>
      <c r="BI29" s="283"/>
      <c r="BJ29" s="283"/>
      <c r="BK29" s="283"/>
      <c r="BL29" s="283"/>
      <c r="BM29" s="283"/>
      <c r="BN29" s="207"/>
      <c r="BO29" s="207"/>
      <c r="BP29" s="283"/>
      <c r="BQ29" s="283"/>
      <c r="BR29" s="283"/>
      <c r="BS29" s="283"/>
      <c r="BT29" s="283"/>
      <c r="BU29" s="283"/>
      <c r="BV29" s="283"/>
      <c r="BW29" s="283"/>
      <c r="BX29" s="283"/>
      <c r="BY29" s="283"/>
      <c r="BZ29" s="283"/>
      <c r="CA29" s="207"/>
      <c r="CB29" s="207"/>
      <c r="CC29" s="283"/>
      <c r="CD29" s="283"/>
      <c r="CE29" s="283"/>
      <c r="CF29" s="283"/>
      <c r="CG29" s="283"/>
      <c r="CH29" s="283"/>
      <c r="CI29" s="283"/>
      <c r="CJ29" s="283"/>
      <c r="CK29" s="283"/>
      <c r="CL29" s="283"/>
      <c r="CM29" s="283"/>
      <c r="CN29" s="207"/>
      <c r="CO29" s="207"/>
      <c r="CP29" s="283"/>
      <c r="CQ29" s="283"/>
      <c r="CR29" s="283"/>
      <c r="CS29" s="283"/>
      <c r="CT29" s="283"/>
      <c r="CU29" s="283"/>
      <c r="CV29" s="283"/>
      <c r="CW29" s="283"/>
      <c r="CX29" s="283"/>
      <c r="CY29" s="283"/>
      <c r="CZ29" s="283"/>
      <c r="DA29" s="207"/>
      <c r="DB29" s="207"/>
      <c r="DC29" s="283"/>
      <c r="DD29" s="283"/>
      <c r="DE29" s="283"/>
      <c r="DF29" s="283"/>
      <c r="DG29" s="283"/>
      <c r="DH29" s="283"/>
      <c r="DI29" s="283"/>
      <c r="DJ29" s="283"/>
      <c r="DK29" s="283"/>
      <c r="DL29" s="283"/>
      <c r="DM29" s="283"/>
      <c r="DN29" s="207"/>
      <c r="DO29" s="207"/>
      <c r="DP29" s="283"/>
      <c r="DQ29" s="283"/>
      <c r="DR29" s="283"/>
      <c r="DS29" s="283"/>
      <c r="DT29" s="283"/>
      <c r="DU29" s="283"/>
      <c r="DV29" s="283"/>
      <c r="DW29" s="283"/>
      <c r="DX29" s="283"/>
      <c r="DY29" s="283"/>
      <c r="DZ29" s="283"/>
      <c r="EA29" s="207"/>
      <c r="EB29" s="207"/>
      <c r="EC29" s="283"/>
      <c r="ED29" s="283"/>
      <c r="EE29" s="283"/>
      <c r="EF29" s="283"/>
      <c r="EG29" s="283"/>
      <c r="EH29" s="283"/>
      <c r="EI29" s="283"/>
      <c r="EJ29" s="283"/>
      <c r="EK29" s="283"/>
      <c r="EL29" s="283"/>
      <c r="EM29" s="283"/>
      <c r="EN29" s="207"/>
      <c r="EO29" s="207"/>
      <c r="EP29" s="283"/>
      <c r="EQ29" s="283"/>
      <c r="ER29" s="283"/>
      <c r="ES29" s="283"/>
      <c r="ET29" s="283"/>
      <c r="EU29" s="283"/>
      <c r="EV29" s="283"/>
      <c r="EW29" s="283"/>
      <c r="EX29" s="283"/>
      <c r="EY29" s="283"/>
      <c r="EZ29" s="283"/>
      <c r="FA29" s="207"/>
      <c r="FB29" s="207"/>
      <c r="FC29" s="283"/>
      <c r="FD29" s="283"/>
      <c r="FE29" s="283"/>
      <c r="FF29" s="283"/>
      <c r="FG29" s="283"/>
      <c r="FH29" s="283"/>
      <c r="FI29" s="283"/>
      <c r="FJ29" s="283"/>
      <c r="FK29" s="283"/>
      <c r="FL29" s="283"/>
      <c r="FM29" s="283"/>
      <c r="FN29" s="207"/>
      <c r="FO29" s="207"/>
      <c r="FP29" s="283"/>
      <c r="FQ29" s="283"/>
      <c r="FR29" s="283"/>
      <c r="FS29" s="283"/>
      <c r="FT29" s="283"/>
      <c r="FU29" s="283"/>
      <c r="FV29" s="283"/>
      <c r="FW29" s="283"/>
      <c r="FX29" s="283"/>
      <c r="FY29" s="283"/>
      <c r="FZ29" s="283"/>
      <c r="GA29" s="207"/>
      <c r="GB29" s="207"/>
      <c r="GC29" s="283"/>
      <c r="GD29" s="283"/>
      <c r="GE29" s="283"/>
      <c r="GF29" s="283"/>
      <c r="GG29" s="283"/>
      <c r="GH29" s="283"/>
      <c r="GI29" s="283"/>
      <c r="GJ29" s="283"/>
      <c r="GK29" s="283"/>
      <c r="GL29" s="283"/>
      <c r="GM29" s="283"/>
      <c r="GN29" s="207"/>
      <c r="GO29" s="207"/>
      <c r="GP29" s="283"/>
      <c r="GQ29" s="283"/>
      <c r="GR29" s="283"/>
      <c r="GS29" s="283"/>
      <c r="GT29" s="283"/>
      <c r="GU29" s="283"/>
      <c r="GV29" s="283"/>
      <c r="GW29" s="283"/>
      <c r="GX29" s="283"/>
      <c r="GY29" s="283"/>
      <c r="GZ29" s="283"/>
      <c r="HA29" s="207"/>
      <c r="HB29" s="207"/>
      <c r="HC29" s="283"/>
      <c r="HD29" s="283"/>
      <c r="HE29" s="283"/>
      <c r="HF29" s="283"/>
      <c r="HG29" s="283"/>
      <c r="HH29" s="283"/>
      <c r="HI29" s="283"/>
      <c r="HJ29" s="283"/>
      <c r="HK29" s="283"/>
      <c r="HL29" s="283"/>
      <c r="HM29" s="283"/>
      <c r="HN29" s="207"/>
      <c r="HO29" s="207"/>
      <c r="HP29" s="283"/>
      <c r="HQ29" s="283"/>
      <c r="HR29" s="283"/>
      <c r="HS29" s="283"/>
      <c r="HT29" s="283"/>
      <c r="HU29" s="283"/>
      <c r="HV29" s="283"/>
      <c r="HW29" s="283"/>
      <c r="HX29" s="283"/>
      <c r="HY29" s="283"/>
      <c r="HZ29" s="283"/>
      <c r="IA29" s="207"/>
      <c r="IB29" s="207"/>
      <c r="IC29" s="283"/>
      <c r="ID29" s="283"/>
      <c r="IE29" s="283"/>
      <c r="IF29" s="283"/>
      <c r="IG29" s="283"/>
      <c r="IH29" s="283"/>
      <c r="II29" s="283"/>
      <c r="IJ29" s="283"/>
      <c r="IK29" s="283"/>
      <c r="IL29" s="283"/>
      <c r="IM29" s="283"/>
      <c r="IN29" s="207"/>
      <c r="IO29" s="207"/>
      <c r="IP29" s="283"/>
      <c r="IQ29" s="283"/>
      <c r="IR29" s="283"/>
      <c r="IS29" s="283"/>
      <c r="IT29" s="283"/>
      <c r="IU29" s="283"/>
      <c r="IV29" s="283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84"/>
      <c r="Q30" s="284"/>
      <c r="R30" s="284"/>
      <c r="S30" s="284"/>
      <c r="T30" s="284"/>
      <c r="U30" s="284"/>
      <c r="V30" s="284"/>
      <c r="W30" s="284"/>
      <c r="X30" s="284"/>
      <c r="Y30" s="284"/>
      <c r="Z30" s="284"/>
      <c r="AA30" s="207"/>
      <c r="AB30" s="207"/>
      <c r="AC30" s="283"/>
      <c r="AD30" s="283"/>
      <c r="AE30" s="283"/>
      <c r="AF30" s="283"/>
      <c r="AG30" s="283"/>
      <c r="AH30" s="283"/>
      <c r="AI30" s="283"/>
      <c r="AJ30" s="283"/>
      <c r="AK30" s="283"/>
      <c r="AL30" s="283"/>
      <c r="AM30" s="283"/>
      <c r="AN30" s="207"/>
      <c r="AO30" s="207"/>
      <c r="AP30" s="283"/>
      <c r="AQ30" s="283"/>
      <c r="AR30" s="283"/>
      <c r="AS30" s="283"/>
      <c r="AT30" s="283"/>
      <c r="AU30" s="283"/>
      <c r="AV30" s="283"/>
      <c r="AW30" s="283"/>
      <c r="AX30" s="283"/>
      <c r="AY30" s="283"/>
      <c r="AZ30" s="283"/>
      <c r="BA30" s="207"/>
      <c r="BB30" s="207"/>
      <c r="BC30" s="283"/>
      <c r="BD30" s="283"/>
      <c r="BE30" s="283"/>
      <c r="BF30" s="283"/>
      <c r="BG30" s="283"/>
      <c r="BH30" s="283"/>
      <c r="BI30" s="283"/>
      <c r="BJ30" s="283"/>
      <c r="BK30" s="283"/>
      <c r="BL30" s="283"/>
      <c r="BM30" s="283"/>
      <c r="BN30" s="207"/>
      <c r="BO30" s="207"/>
      <c r="BP30" s="283"/>
      <c r="BQ30" s="283"/>
      <c r="BR30" s="283"/>
      <c r="BS30" s="283"/>
      <c r="BT30" s="283"/>
      <c r="BU30" s="283"/>
      <c r="BV30" s="283"/>
      <c r="BW30" s="283"/>
      <c r="BX30" s="283"/>
      <c r="BY30" s="283"/>
      <c r="BZ30" s="283"/>
      <c r="CA30" s="207"/>
      <c r="CB30" s="207"/>
      <c r="CC30" s="283"/>
      <c r="CD30" s="283"/>
      <c r="CE30" s="283"/>
      <c r="CF30" s="283"/>
      <c r="CG30" s="283"/>
      <c r="CH30" s="283"/>
      <c r="CI30" s="283"/>
      <c r="CJ30" s="283"/>
      <c r="CK30" s="283"/>
      <c r="CL30" s="283"/>
      <c r="CM30" s="283"/>
      <c r="CN30" s="207"/>
      <c r="CO30" s="207"/>
      <c r="CP30" s="283"/>
      <c r="CQ30" s="283"/>
      <c r="CR30" s="283"/>
      <c r="CS30" s="283"/>
      <c r="CT30" s="283"/>
      <c r="CU30" s="283"/>
      <c r="CV30" s="283"/>
      <c r="CW30" s="283"/>
      <c r="CX30" s="283"/>
      <c r="CY30" s="283"/>
      <c r="CZ30" s="283"/>
      <c r="DA30" s="207"/>
      <c r="DB30" s="207"/>
      <c r="DC30" s="283"/>
      <c r="DD30" s="283"/>
      <c r="DE30" s="283"/>
      <c r="DF30" s="283"/>
      <c r="DG30" s="283"/>
      <c r="DH30" s="283"/>
      <c r="DI30" s="283"/>
      <c r="DJ30" s="283"/>
      <c r="DK30" s="283"/>
      <c r="DL30" s="283"/>
      <c r="DM30" s="283"/>
      <c r="DN30" s="207"/>
      <c r="DO30" s="207"/>
      <c r="DP30" s="283"/>
      <c r="DQ30" s="283"/>
      <c r="DR30" s="283"/>
      <c r="DS30" s="283"/>
      <c r="DT30" s="283"/>
      <c r="DU30" s="283"/>
      <c r="DV30" s="283"/>
      <c r="DW30" s="283"/>
      <c r="DX30" s="283"/>
      <c r="DY30" s="283"/>
      <c r="DZ30" s="283"/>
      <c r="EA30" s="207"/>
      <c r="EB30" s="207"/>
      <c r="EC30" s="283"/>
      <c r="ED30" s="283"/>
      <c r="EE30" s="283"/>
      <c r="EF30" s="283"/>
      <c r="EG30" s="283"/>
      <c r="EH30" s="283"/>
      <c r="EI30" s="283"/>
      <c r="EJ30" s="283"/>
      <c r="EK30" s="283"/>
      <c r="EL30" s="283"/>
      <c r="EM30" s="283"/>
      <c r="EN30" s="207"/>
      <c r="EO30" s="207"/>
      <c r="EP30" s="283"/>
      <c r="EQ30" s="283"/>
      <c r="ER30" s="283"/>
      <c r="ES30" s="283"/>
      <c r="ET30" s="283"/>
      <c r="EU30" s="283"/>
      <c r="EV30" s="283"/>
      <c r="EW30" s="283"/>
      <c r="EX30" s="283"/>
      <c r="EY30" s="283"/>
      <c r="EZ30" s="283"/>
      <c r="FA30" s="207"/>
      <c r="FB30" s="207"/>
      <c r="FC30" s="283"/>
      <c r="FD30" s="283"/>
      <c r="FE30" s="283"/>
      <c r="FF30" s="283"/>
      <c r="FG30" s="283"/>
      <c r="FH30" s="283"/>
      <c r="FI30" s="283"/>
      <c r="FJ30" s="283"/>
      <c r="FK30" s="283"/>
      <c r="FL30" s="283"/>
      <c r="FM30" s="283"/>
      <c r="FN30" s="207"/>
      <c r="FO30" s="207"/>
      <c r="FP30" s="283"/>
      <c r="FQ30" s="283"/>
      <c r="FR30" s="283"/>
      <c r="FS30" s="283"/>
      <c r="FT30" s="283"/>
      <c r="FU30" s="283"/>
      <c r="FV30" s="283"/>
      <c r="FW30" s="283"/>
      <c r="FX30" s="283"/>
      <c r="FY30" s="283"/>
      <c r="FZ30" s="283"/>
      <c r="GA30" s="207"/>
      <c r="GB30" s="207"/>
      <c r="GC30" s="283"/>
      <c r="GD30" s="283"/>
      <c r="GE30" s="283"/>
      <c r="GF30" s="283"/>
      <c r="GG30" s="283"/>
      <c r="GH30" s="283"/>
      <c r="GI30" s="283"/>
      <c r="GJ30" s="283"/>
      <c r="GK30" s="283"/>
      <c r="GL30" s="283"/>
      <c r="GM30" s="283"/>
      <c r="GN30" s="207"/>
      <c r="GO30" s="207"/>
      <c r="GP30" s="283"/>
      <c r="GQ30" s="283"/>
      <c r="GR30" s="283"/>
      <c r="GS30" s="283"/>
      <c r="GT30" s="283"/>
      <c r="GU30" s="283"/>
      <c r="GV30" s="283"/>
      <c r="GW30" s="283"/>
      <c r="GX30" s="283"/>
      <c r="GY30" s="283"/>
      <c r="GZ30" s="283"/>
      <c r="HA30" s="207"/>
      <c r="HB30" s="207"/>
      <c r="HC30" s="283"/>
      <c r="HD30" s="283"/>
      <c r="HE30" s="283"/>
      <c r="HF30" s="283"/>
      <c r="HG30" s="283"/>
      <c r="HH30" s="283"/>
      <c r="HI30" s="283"/>
      <c r="HJ30" s="283"/>
      <c r="HK30" s="283"/>
      <c r="HL30" s="283"/>
      <c r="HM30" s="283"/>
      <c r="HN30" s="207"/>
      <c r="HO30" s="207"/>
      <c r="HP30" s="283"/>
      <c r="HQ30" s="283"/>
      <c r="HR30" s="283"/>
      <c r="HS30" s="283"/>
      <c r="HT30" s="283"/>
      <c r="HU30" s="283"/>
      <c r="HV30" s="283"/>
      <c r="HW30" s="283"/>
      <c r="HX30" s="283"/>
      <c r="HY30" s="283"/>
      <c r="HZ30" s="283"/>
      <c r="IA30" s="207"/>
      <c r="IB30" s="207"/>
      <c r="IC30" s="283"/>
      <c r="ID30" s="283"/>
      <c r="IE30" s="283"/>
      <c r="IF30" s="283"/>
      <c r="IG30" s="283"/>
      <c r="IH30" s="283"/>
      <c r="II30" s="283"/>
      <c r="IJ30" s="283"/>
      <c r="IK30" s="283"/>
      <c r="IL30" s="283"/>
      <c r="IM30" s="283"/>
      <c r="IN30" s="207"/>
      <c r="IO30" s="207"/>
      <c r="IP30" s="283"/>
      <c r="IQ30" s="283"/>
      <c r="IR30" s="283"/>
      <c r="IS30" s="283"/>
      <c r="IT30" s="283"/>
      <c r="IU30" s="283"/>
      <c r="IV30" s="283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84"/>
      <c r="Q31" s="284"/>
      <c r="R31" s="284"/>
      <c r="S31" s="284"/>
      <c r="T31" s="284"/>
      <c r="U31" s="284"/>
      <c r="V31" s="284"/>
      <c r="W31" s="284"/>
      <c r="X31" s="284"/>
      <c r="Y31" s="284"/>
      <c r="Z31" s="284"/>
      <c r="AA31" s="207"/>
      <c r="AB31" s="207"/>
      <c r="AC31" s="283"/>
      <c r="AD31" s="283"/>
      <c r="AE31" s="283"/>
      <c r="AF31" s="283"/>
      <c r="AG31" s="283"/>
      <c r="AH31" s="283"/>
      <c r="AI31" s="283"/>
      <c r="AJ31" s="283"/>
      <c r="AK31" s="283"/>
      <c r="AL31" s="283"/>
      <c r="AM31" s="283"/>
      <c r="AN31" s="207"/>
      <c r="AO31" s="207"/>
      <c r="AP31" s="283"/>
      <c r="AQ31" s="283"/>
      <c r="AR31" s="283"/>
      <c r="AS31" s="283"/>
      <c r="AT31" s="283"/>
      <c r="AU31" s="283"/>
      <c r="AV31" s="283"/>
      <c r="AW31" s="283"/>
      <c r="AX31" s="283"/>
      <c r="AY31" s="283"/>
      <c r="AZ31" s="283"/>
      <c r="BA31" s="207"/>
      <c r="BB31" s="207"/>
      <c r="BC31" s="283"/>
      <c r="BD31" s="283"/>
      <c r="BE31" s="283"/>
      <c r="BF31" s="283"/>
      <c r="BG31" s="283"/>
      <c r="BH31" s="283"/>
      <c r="BI31" s="283"/>
      <c r="BJ31" s="283"/>
      <c r="BK31" s="283"/>
      <c r="BL31" s="283"/>
      <c r="BM31" s="283"/>
      <c r="BN31" s="207"/>
      <c r="BO31" s="207"/>
      <c r="BP31" s="283"/>
      <c r="BQ31" s="283"/>
      <c r="BR31" s="283"/>
      <c r="BS31" s="283"/>
      <c r="BT31" s="283"/>
      <c r="BU31" s="283"/>
      <c r="BV31" s="283"/>
      <c r="BW31" s="283"/>
      <c r="BX31" s="283"/>
      <c r="BY31" s="283"/>
      <c r="BZ31" s="283"/>
      <c r="CA31" s="207"/>
      <c r="CB31" s="207"/>
      <c r="CC31" s="283"/>
      <c r="CD31" s="283"/>
      <c r="CE31" s="283"/>
      <c r="CF31" s="283"/>
      <c r="CG31" s="283"/>
      <c r="CH31" s="283"/>
      <c r="CI31" s="283"/>
      <c r="CJ31" s="283"/>
      <c r="CK31" s="283"/>
      <c r="CL31" s="283"/>
      <c r="CM31" s="283"/>
      <c r="CN31" s="207"/>
      <c r="CO31" s="207"/>
      <c r="CP31" s="283"/>
      <c r="CQ31" s="283"/>
      <c r="CR31" s="283"/>
      <c r="CS31" s="283"/>
      <c r="CT31" s="283"/>
      <c r="CU31" s="283"/>
      <c r="CV31" s="283"/>
      <c r="CW31" s="283"/>
      <c r="CX31" s="283"/>
      <c r="CY31" s="283"/>
      <c r="CZ31" s="283"/>
      <c r="DA31" s="207"/>
      <c r="DB31" s="207"/>
      <c r="DC31" s="283"/>
      <c r="DD31" s="283"/>
      <c r="DE31" s="283"/>
      <c r="DF31" s="283"/>
      <c r="DG31" s="283"/>
      <c r="DH31" s="283"/>
      <c r="DI31" s="283"/>
      <c r="DJ31" s="283"/>
      <c r="DK31" s="283"/>
      <c r="DL31" s="283"/>
      <c r="DM31" s="283"/>
      <c r="DN31" s="207"/>
      <c r="DO31" s="207"/>
      <c r="DP31" s="283"/>
      <c r="DQ31" s="283"/>
      <c r="DR31" s="283"/>
      <c r="DS31" s="283"/>
      <c r="DT31" s="283"/>
      <c r="DU31" s="283"/>
      <c r="DV31" s="283"/>
      <c r="DW31" s="283"/>
      <c r="DX31" s="283"/>
      <c r="DY31" s="283"/>
      <c r="DZ31" s="283"/>
      <c r="EA31" s="207"/>
      <c r="EB31" s="207"/>
      <c r="EC31" s="283"/>
      <c r="ED31" s="283"/>
      <c r="EE31" s="283"/>
      <c r="EF31" s="283"/>
      <c r="EG31" s="283"/>
      <c r="EH31" s="283"/>
      <c r="EI31" s="283"/>
      <c r="EJ31" s="283"/>
      <c r="EK31" s="283"/>
      <c r="EL31" s="283"/>
      <c r="EM31" s="283"/>
      <c r="EN31" s="207"/>
      <c r="EO31" s="207"/>
      <c r="EP31" s="283"/>
      <c r="EQ31" s="283"/>
      <c r="ER31" s="283"/>
      <c r="ES31" s="283"/>
      <c r="ET31" s="283"/>
      <c r="EU31" s="283"/>
      <c r="EV31" s="283"/>
      <c r="EW31" s="283"/>
      <c r="EX31" s="283"/>
      <c r="EY31" s="283"/>
      <c r="EZ31" s="283"/>
      <c r="FA31" s="207"/>
      <c r="FB31" s="207"/>
      <c r="FC31" s="283"/>
      <c r="FD31" s="283"/>
      <c r="FE31" s="283"/>
      <c r="FF31" s="283"/>
      <c r="FG31" s="283"/>
      <c r="FH31" s="283"/>
      <c r="FI31" s="283"/>
      <c r="FJ31" s="283"/>
      <c r="FK31" s="283"/>
      <c r="FL31" s="283"/>
      <c r="FM31" s="283"/>
      <c r="FN31" s="207"/>
      <c r="FO31" s="207"/>
      <c r="FP31" s="283"/>
      <c r="FQ31" s="283"/>
      <c r="FR31" s="283"/>
      <c r="FS31" s="283"/>
      <c r="FT31" s="283"/>
      <c r="FU31" s="283"/>
      <c r="FV31" s="283"/>
      <c r="FW31" s="283"/>
      <c r="FX31" s="283"/>
      <c r="FY31" s="283"/>
      <c r="FZ31" s="283"/>
      <c r="GA31" s="207"/>
      <c r="GB31" s="207"/>
      <c r="GC31" s="283"/>
      <c r="GD31" s="283"/>
      <c r="GE31" s="283"/>
      <c r="GF31" s="283"/>
      <c r="GG31" s="283"/>
      <c r="GH31" s="283"/>
      <c r="GI31" s="283"/>
      <c r="GJ31" s="283"/>
      <c r="GK31" s="283"/>
      <c r="GL31" s="283"/>
      <c r="GM31" s="283"/>
      <c r="GN31" s="207"/>
      <c r="GO31" s="207"/>
      <c r="GP31" s="283"/>
      <c r="GQ31" s="283"/>
      <c r="GR31" s="283"/>
      <c r="GS31" s="283"/>
      <c r="GT31" s="283"/>
      <c r="GU31" s="283"/>
      <c r="GV31" s="283"/>
      <c r="GW31" s="283"/>
      <c r="GX31" s="283"/>
      <c r="GY31" s="283"/>
      <c r="GZ31" s="283"/>
      <c r="HA31" s="207"/>
      <c r="HB31" s="207"/>
      <c r="HC31" s="283"/>
      <c r="HD31" s="283"/>
      <c r="HE31" s="283"/>
      <c r="HF31" s="283"/>
      <c r="HG31" s="283"/>
      <c r="HH31" s="283"/>
      <c r="HI31" s="283"/>
      <c r="HJ31" s="283"/>
      <c r="HK31" s="283"/>
      <c r="HL31" s="283"/>
      <c r="HM31" s="283"/>
      <c r="HN31" s="207"/>
      <c r="HO31" s="207"/>
      <c r="HP31" s="283"/>
      <c r="HQ31" s="283"/>
      <c r="HR31" s="283"/>
      <c r="HS31" s="283"/>
      <c r="HT31" s="283"/>
      <c r="HU31" s="283"/>
      <c r="HV31" s="283"/>
      <c r="HW31" s="283"/>
      <c r="HX31" s="283"/>
      <c r="HY31" s="283"/>
      <c r="HZ31" s="283"/>
      <c r="IA31" s="207"/>
      <c r="IB31" s="207"/>
      <c r="IC31" s="283"/>
      <c r="ID31" s="283"/>
      <c r="IE31" s="283"/>
      <c r="IF31" s="283"/>
      <c r="IG31" s="283"/>
      <c r="IH31" s="283"/>
      <c r="II31" s="283"/>
      <c r="IJ31" s="283"/>
      <c r="IK31" s="283"/>
      <c r="IL31" s="283"/>
      <c r="IM31" s="283"/>
      <c r="IN31" s="207"/>
      <c r="IO31" s="207"/>
      <c r="IP31" s="283"/>
      <c r="IQ31" s="283"/>
      <c r="IR31" s="283"/>
      <c r="IS31" s="283"/>
      <c r="IT31" s="283"/>
      <c r="IU31" s="283"/>
      <c r="IV31" s="283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5"/>
      <c r="Q32" s="295"/>
      <c r="R32" s="295"/>
      <c r="S32" s="295"/>
      <c r="T32" s="295"/>
      <c r="U32" s="295"/>
      <c r="V32" s="295"/>
      <c r="W32" s="295"/>
      <c r="X32" s="295"/>
      <c r="Y32" s="295"/>
      <c r="Z32" s="296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84"/>
      <c r="Q38" s="284"/>
      <c r="R38" s="284"/>
      <c r="S38" s="284"/>
      <c r="T38" s="284"/>
      <c r="U38" s="284"/>
      <c r="V38" s="284"/>
      <c r="W38" s="284"/>
      <c r="X38" s="284"/>
      <c r="Y38" s="284"/>
      <c r="Z38" s="284"/>
      <c r="AA38" s="207"/>
      <c r="AB38" s="207"/>
      <c r="AC38" s="283"/>
      <c r="AD38" s="283"/>
      <c r="AE38" s="283"/>
      <c r="AF38" s="283"/>
      <c r="AG38" s="283"/>
      <c r="AH38" s="283"/>
      <c r="AI38" s="283"/>
      <c r="AJ38" s="283"/>
      <c r="AK38" s="283"/>
      <c r="AL38" s="283"/>
      <c r="AM38" s="283"/>
      <c r="AN38" s="207"/>
      <c r="AO38" s="207"/>
      <c r="AP38" s="283"/>
      <c r="AQ38" s="283"/>
      <c r="AR38" s="283"/>
      <c r="AS38" s="283"/>
      <c r="AT38" s="283"/>
      <c r="AU38" s="283"/>
      <c r="AV38" s="283"/>
      <c r="AW38" s="283"/>
      <c r="AX38" s="283"/>
      <c r="AY38" s="283"/>
      <c r="AZ38" s="283"/>
      <c r="BA38" s="207"/>
      <c r="BB38" s="207"/>
      <c r="BC38" s="283"/>
      <c r="BD38" s="283"/>
      <c r="BE38" s="283"/>
      <c r="BF38" s="283"/>
      <c r="BG38" s="283"/>
      <c r="BH38" s="283"/>
      <c r="BI38" s="283"/>
      <c r="BJ38" s="283"/>
      <c r="BK38" s="283"/>
      <c r="BL38" s="283"/>
      <c r="BM38" s="283"/>
      <c r="BN38" s="207"/>
      <c r="BO38" s="207"/>
      <c r="BP38" s="283"/>
      <c r="BQ38" s="283"/>
      <c r="BR38" s="283"/>
      <c r="BS38" s="283"/>
      <c r="BT38" s="283"/>
      <c r="BU38" s="283"/>
      <c r="BV38" s="283"/>
      <c r="BW38" s="283"/>
      <c r="BX38" s="283"/>
      <c r="BY38" s="283"/>
      <c r="BZ38" s="283"/>
      <c r="CA38" s="207"/>
      <c r="CB38" s="207"/>
      <c r="CC38" s="283"/>
      <c r="CD38" s="283"/>
      <c r="CE38" s="283"/>
      <c r="CF38" s="283"/>
      <c r="CG38" s="283"/>
      <c r="CH38" s="283"/>
      <c r="CI38" s="283"/>
      <c r="CJ38" s="283"/>
      <c r="CK38" s="283"/>
      <c r="CL38" s="283"/>
      <c r="CM38" s="283"/>
      <c r="CN38" s="207"/>
      <c r="CO38" s="207"/>
      <c r="CP38" s="283"/>
      <c r="CQ38" s="283"/>
      <c r="CR38" s="283"/>
      <c r="CS38" s="283"/>
      <c r="CT38" s="283"/>
      <c r="CU38" s="283"/>
      <c r="CV38" s="283"/>
      <c r="CW38" s="283"/>
      <c r="CX38" s="283"/>
      <c r="CY38" s="283"/>
      <c r="CZ38" s="283"/>
      <c r="DA38" s="207"/>
      <c r="DB38" s="207"/>
      <c r="DC38" s="283"/>
      <c r="DD38" s="283"/>
      <c r="DE38" s="283"/>
      <c r="DF38" s="283"/>
      <c r="DG38" s="283"/>
      <c r="DH38" s="283"/>
      <c r="DI38" s="283"/>
      <c r="DJ38" s="283"/>
      <c r="DK38" s="283"/>
      <c r="DL38" s="283"/>
      <c r="DM38" s="283"/>
      <c r="DN38" s="207"/>
      <c r="DO38" s="207"/>
      <c r="DP38" s="283"/>
      <c r="DQ38" s="283"/>
      <c r="DR38" s="283"/>
      <c r="DS38" s="283"/>
      <c r="DT38" s="283"/>
      <c r="DU38" s="283"/>
      <c r="DV38" s="283"/>
      <c r="DW38" s="283"/>
      <c r="DX38" s="283"/>
      <c r="DY38" s="283"/>
      <c r="DZ38" s="283"/>
      <c r="EA38" s="207"/>
      <c r="EB38" s="207"/>
      <c r="EC38" s="283"/>
      <c r="ED38" s="283"/>
      <c r="EE38" s="283"/>
      <c r="EF38" s="283"/>
      <c r="EG38" s="283"/>
      <c r="EH38" s="283"/>
      <c r="EI38" s="283"/>
      <c r="EJ38" s="283"/>
      <c r="EK38" s="283"/>
      <c r="EL38" s="283"/>
      <c r="EM38" s="283"/>
      <c r="EN38" s="207"/>
      <c r="EO38" s="207"/>
      <c r="EP38" s="283"/>
      <c r="EQ38" s="283"/>
      <c r="ER38" s="283"/>
      <c r="ES38" s="283"/>
      <c r="ET38" s="283"/>
      <c r="EU38" s="283"/>
      <c r="EV38" s="283"/>
      <c r="EW38" s="283"/>
      <c r="EX38" s="283"/>
      <c r="EY38" s="283"/>
      <c r="EZ38" s="283"/>
      <c r="FA38" s="207"/>
      <c r="FB38" s="207"/>
      <c r="FC38" s="283"/>
      <c r="FD38" s="283"/>
      <c r="FE38" s="283"/>
      <c r="FF38" s="283"/>
      <c r="FG38" s="283"/>
      <c r="FH38" s="283"/>
      <c r="FI38" s="283"/>
      <c r="FJ38" s="283"/>
      <c r="FK38" s="283"/>
      <c r="FL38" s="283"/>
      <c r="FM38" s="283"/>
      <c r="FN38" s="207"/>
      <c r="FO38" s="207"/>
      <c r="FP38" s="283"/>
      <c r="FQ38" s="283"/>
      <c r="FR38" s="283"/>
      <c r="FS38" s="283"/>
      <c r="FT38" s="283"/>
      <c r="FU38" s="283"/>
      <c r="FV38" s="283"/>
      <c r="FW38" s="283"/>
      <c r="FX38" s="283"/>
      <c r="FY38" s="283"/>
      <c r="FZ38" s="283"/>
      <c r="GA38" s="207"/>
      <c r="GB38" s="207"/>
      <c r="GC38" s="283"/>
      <c r="GD38" s="283"/>
      <c r="GE38" s="283"/>
      <c r="GF38" s="283"/>
      <c r="GG38" s="283"/>
      <c r="GH38" s="283"/>
      <c r="GI38" s="283"/>
      <c r="GJ38" s="283"/>
      <c r="GK38" s="283"/>
      <c r="GL38" s="283"/>
      <c r="GM38" s="283"/>
      <c r="GN38" s="207"/>
      <c r="GO38" s="207"/>
      <c r="GP38" s="283"/>
      <c r="GQ38" s="283"/>
      <c r="GR38" s="283"/>
      <c r="GS38" s="283"/>
      <c r="GT38" s="283"/>
      <c r="GU38" s="283"/>
      <c r="GV38" s="283"/>
      <c r="GW38" s="283"/>
      <c r="GX38" s="283"/>
      <c r="GY38" s="283"/>
      <c r="GZ38" s="283"/>
      <c r="HA38" s="207"/>
      <c r="HB38" s="207"/>
      <c r="HC38" s="283"/>
      <c r="HD38" s="283"/>
      <c r="HE38" s="283"/>
      <c r="HF38" s="283"/>
      <c r="HG38" s="283"/>
      <c r="HH38" s="283"/>
      <c r="HI38" s="283"/>
      <c r="HJ38" s="283"/>
      <c r="HK38" s="283"/>
      <c r="HL38" s="283"/>
      <c r="HM38" s="283"/>
      <c r="HN38" s="207"/>
      <c r="HO38" s="207"/>
      <c r="HP38" s="283"/>
      <c r="HQ38" s="283"/>
      <c r="HR38" s="283"/>
      <c r="HS38" s="283"/>
      <c r="HT38" s="283"/>
      <c r="HU38" s="283"/>
      <c r="HV38" s="283"/>
      <c r="HW38" s="283"/>
      <c r="HX38" s="283"/>
      <c r="HY38" s="283"/>
      <c r="HZ38" s="283"/>
      <c r="IA38" s="207"/>
      <c r="IB38" s="207"/>
      <c r="IC38" s="283"/>
      <c r="ID38" s="283"/>
      <c r="IE38" s="283"/>
      <c r="IF38" s="283"/>
      <c r="IG38" s="283"/>
      <c r="IH38" s="283"/>
      <c r="II38" s="283"/>
      <c r="IJ38" s="283"/>
      <c r="IK38" s="283"/>
      <c r="IL38" s="283"/>
      <c r="IM38" s="283"/>
      <c r="IN38" s="207"/>
      <c r="IO38" s="207"/>
      <c r="IP38" s="283"/>
      <c r="IQ38" s="283"/>
      <c r="IR38" s="283"/>
      <c r="IS38" s="283"/>
      <c r="IT38" s="283"/>
      <c r="IU38" s="283"/>
      <c r="IV38" s="283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84"/>
      <c r="Q39" s="284"/>
      <c r="R39" s="284"/>
      <c r="S39" s="284"/>
      <c r="T39" s="284"/>
      <c r="U39" s="284"/>
      <c r="V39" s="284"/>
      <c r="W39" s="284"/>
      <c r="X39" s="284"/>
      <c r="Y39" s="284"/>
      <c r="Z39" s="284"/>
      <c r="AA39" s="207"/>
      <c r="AB39" s="207"/>
      <c r="AC39" s="283"/>
      <c r="AD39" s="283"/>
      <c r="AE39" s="283"/>
      <c r="AF39" s="283"/>
      <c r="AG39" s="283"/>
      <c r="AH39" s="283"/>
      <c r="AI39" s="283"/>
      <c r="AJ39" s="283"/>
      <c r="AK39" s="283"/>
      <c r="AL39" s="283"/>
      <c r="AM39" s="283"/>
      <c r="AN39" s="207"/>
      <c r="AO39" s="207"/>
      <c r="AP39" s="283"/>
      <c r="AQ39" s="283"/>
      <c r="AR39" s="283"/>
      <c r="AS39" s="283"/>
      <c r="AT39" s="283"/>
      <c r="AU39" s="283"/>
      <c r="AV39" s="283"/>
      <c r="AW39" s="283"/>
      <c r="AX39" s="283"/>
      <c r="AY39" s="283"/>
      <c r="AZ39" s="283"/>
      <c r="BA39" s="207"/>
      <c r="BB39" s="207"/>
      <c r="BC39" s="283"/>
      <c r="BD39" s="283"/>
      <c r="BE39" s="283"/>
      <c r="BF39" s="283"/>
      <c r="BG39" s="283"/>
      <c r="BH39" s="283"/>
      <c r="BI39" s="283"/>
      <c r="BJ39" s="283"/>
      <c r="BK39" s="283"/>
      <c r="BL39" s="283"/>
      <c r="BM39" s="283"/>
      <c r="BN39" s="207"/>
      <c r="BO39" s="207"/>
      <c r="BP39" s="283"/>
      <c r="BQ39" s="283"/>
      <c r="BR39" s="283"/>
      <c r="BS39" s="283"/>
      <c r="BT39" s="283"/>
      <c r="BU39" s="283"/>
      <c r="BV39" s="283"/>
      <c r="BW39" s="283"/>
      <c r="BX39" s="283"/>
      <c r="BY39" s="283"/>
      <c r="BZ39" s="283"/>
      <c r="CA39" s="207"/>
      <c r="CB39" s="207"/>
      <c r="CC39" s="283"/>
      <c r="CD39" s="283"/>
      <c r="CE39" s="283"/>
      <c r="CF39" s="283"/>
      <c r="CG39" s="283"/>
      <c r="CH39" s="283"/>
      <c r="CI39" s="283"/>
      <c r="CJ39" s="283"/>
      <c r="CK39" s="283"/>
      <c r="CL39" s="283"/>
      <c r="CM39" s="283"/>
      <c r="CN39" s="207"/>
      <c r="CO39" s="207"/>
      <c r="CP39" s="283"/>
      <c r="CQ39" s="283"/>
      <c r="CR39" s="283"/>
      <c r="CS39" s="283"/>
      <c r="CT39" s="283"/>
      <c r="CU39" s="283"/>
      <c r="CV39" s="283"/>
      <c r="CW39" s="283"/>
      <c r="CX39" s="283"/>
      <c r="CY39" s="283"/>
      <c r="CZ39" s="283"/>
      <c r="DA39" s="207"/>
      <c r="DB39" s="207"/>
      <c r="DC39" s="283"/>
      <c r="DD39" s="283"/>
      <c r="DE39" s="283"/>
      <c r="DF39" s="283"/>
      <c r="DG39" s="283"/>
      <c r="DH39" s="283"/>
      <c r="DI39" s="283"/>
      <c r="DJ39" s="283"/>
      <c r="DK39" s="283"/>
      <c r="DL39" s="283"/>
      <c r="DM39" s="283"/>
      <c r="DN39" s="207"/>
      <c r="DO39" s="207"/>
      <c r="DP39" s="283"/>
      <c r="DQ39" s="283"/>
      <c r="DR39" s="283"/>
      <c r="DS39" s="283"/>
      <c r="DT39" s="283"/>
      <c r="DU39" s="283"/>
      <c r="DV39" s="283"/>
      <c r="DW39" s="283"/>
      <c r="DX39" s="283"/>
      <c r="DY39" s="283"/>
      <c r="DZ39" s="283"/>
      <c r="EA39" s="207"/>
      <c r="EB39" s="207"/>
      <c r="EC39" s="283"/>
      <c r="ED39" s="283"/>
      <c r="EE39" s="283"/>
      <c r="EF39" s="283"/>
      <c r="EG39" s="283"/>
      <c r="EH39" s="283"/>
      <c r="EI39" s="283"/>
      <c r="EJ39" s="283"/>
      <c r="EK39" s="283"/>
      <c r="EL39" s="283"/>
      <c r="EM39" s="283"/>
      <c r="EN39" s="207"/>
      <c r="EO39" s="207"/>
      <c r="EP39" s="283"/>
      <c r="EQ39" s="283"/>
      <c r="ER39" s="283"/>
      <c r="ES39" s="283"/>
      <c r="ET39" s="283"/>
      <c r="EU39" s="283"/>
      <c r="EV39" s="283"/>
      <c r="EW39" s="283"/>
      <c r="EX39" s="283"/>
      <c r="EY39" s="283"/>
      <c r="EZ39" s="283"/>
      <c r="FA39" s="207"/>
      <c r="FB39" s="207"/>
      <c r="FC39" s="283"/>
      <c r="FD39" s="283"/>
      <c r="FE39" s="283"/>
      <c r="FF39" s="283"/>
      <c r="FG39" s="283"/>
      <c r="FH39" s="283"/>
      <c r="FI39" s="283"/>
      <c r="FJ39" s="283"/>
      <c r="FK39" s="283"/>
      <c r="FL39" s="283"/>
      <c r="FM39" s="283"/>
      <c r="FN39" s="207"/>
      <c r="FO39" s="207"/>
      <c r="FP39" s="283"/>
      <c r="FQ39" s="283"/>
      <c r="FR39" s="283"/>
      <c r="FS39" s="283"/>
      <c r="FT39" s="283"/>
      <c r="FU39" s="283"/>
      <c r="FV39" s="283"/>
      <c r="FW39" s="283"/>
      <c r="FX39" s="283"/>
      <c r="FY39" s="283"/>
      <c r="FZ39" s="283"/>
      <c r="GA39" s="207"/>
      <c r="GB39" s="207"/>
      <c r="GC39" s="283"/>
      <c r="GD39" s="283"/>
      <c r="GE39" s="283"/>
      <c r="GF39" s="283"/>
      <c r="GG39" s="283"/>
      <c r="GH39" s="283"/>
      <c r="GI39" s="283"/>
      <c r="GJ39" s="283"/>
      <c r="GK39" s="283"/>
      <c r="GL39" s="283"/>
      <c r="GM39" s="283"/>
      <c r="GN39" s="207"/>
      <c r="GO39" s="207"/>
      <c r="GP39" s="283"/>
      <c r="GQ39" s="283"/>
      <c r="GR39" s="283"/>
      <c r="GS39" s="283"/>
      <c r="GT39" s="283"/>
      <c r="GU39" s="283"/>
      <c r="GV39" s="283"/>
      <c r="GW39" s="283"/>
      <c r="GX39" s="283"/>
      <c r="GY39" s="283"/>
      <c r="GZ39" s="283"/>
      <c r="HA39" s="207"/>
      <c r="HB39" s="207"/>
      <c r="HC39" s="283"/>
      <c r="HD39" s="283"/>
      <c r="HE39" s="283"/>
      <c r="HF39" s="283"/>
      <c r="HG39" s="283"/>
      <c r="HH39" s="283"/>
      <c r="HI39" s="283"/>
      <c r="HJ39" s="283"/>
      <c r="HK39" s="283"/>
      <c r="HL39" s="283"/>
      <c r="HM39" s="283"/>
      <c r="HN39" s="207"/>
      <c r="HO39" s="207"/>
      <c r="HP39" s="283"/>
      <c r="HQ39" s="283"/>
      <c r="HR39" s="283"/>
      <c r="HS39" s="283"/>
      <c r="HT39" s="283"/>
      <c r="HU39" s="283"/>
      <c r="HV39" s="283"/>
      <c r="HW39" s="283"/>
      <c r="HX39" s="283"/>
      <c r="HY39" s="283"/>
      <c r="HZ39" s="283"/>
      <c r="IA39" s="207"/>
      <c r="IB39" s="207"/>
      <c r="IC39" s="283"/>
      <c r="ID39" s="283"/>
      <c r="IE39" s="283"/>
      <c r="IF39" s="283"/>
      <c r="IG39" s="283"/>
      <c r="IH39" s="283"/>
      <c r="II39" s="283"/>
      <c r="IJ39" s="283"/>
      <c r="IK39" s="283"/>
      <c r="IL39" s="283"/>
      <c r="IM39" s="283"/>
      <c r="IN39" s="207"/>
      <c r="IO39" s="207"/>
      <c r="IP39" s="283"/>
      <c r="IQ39" s="283"/>
      <c r="IR39" s="283"/>
      <c r="IS39" s="283"/>
      <c r="IT39" s="283"/>
      <c r="IU39" s="283"/>
      <c r="IV39" s="283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84"/>
      <c r="Q40" s="284"/>
      <c r="R40" s="284"/>
      <c r="S40" s="284"/>
      <c r="T40" s="284"/>
      <c r="U40" s="284"/>
      <c r="V40" s="284"/>
      <c r="W40" s="284"/>
      <c r="X40" s="284"/>
      <c r="Y40" s="284"/>
      <c r="Z40" s="284"/>
      <c r="AA40" s="207"/>
      <c r="AB40" s="207"/>
      <c r="AC40" s="283"/>
      <c r="AD40" s="283"/>
      <c r="AE40" s="283"/>
      <c r="AF40" s="283"/>
      <c r="AG40" s="283"/>
      <c r="AH40" s="283"/>
      <c r="AI40" s="283"/>
      <c r="AJ40" s="283"/>
      <c r="AK40" s="283"/>
      <c r="AL40" s="283"/>
      <c r="AM40" s="283"/>
      <c r="AN40" s="207"/>
      <c r="AO40" s="207"/>
      <c r="AP40" s="283"/>
      <c r="AQ40" s="283"/>
      <c r="AR40" s="283"/>
      <c r="AS40" s="283"/>
      <c r="AT40" s="283"/>
      <c r="AU40" s="283"/>
      <c r="AV40" s="283"/>
      <c r="AW40" s="283"/>
      <c r="AX40" s="283"/>
      <c r="AY40" s="283"/>
      <c r="AZ40" s="283"/>
      <c r="BA40" s="207"/>
      <c r="BB40" s="207"/>
      <c r="BC40" s="283"/>
      <c r="BD40" s="283"/>
      <c r="BE40" s="283"/>
      <c r="BF40" s="283"/>
      <c r="BG40" s="283"/>
      <c r="BH40" s="283"/>
      <c r="BI40" s="283"/>
      <c r="BJ40" s="283"/>
      <c r="BK40" s="283"/>
      <c r="BL40" s="283"/>
      <c r="BM40" s="283"/>
      <c r="BN40" s="207"/>
      <c r="BO40" s="207"/>
      <c r="BP40" s="283"/>
      <c r="BQ40" s="283"/>
      <c r="BR40" s="283"/>
      <c r="BS40" s="283"/>
      <c r="BT40" s="283"/>
      <c r="BU40" s="283"/>
      <c r="BV40" s="283"/>
      <c r="BW40" s="283"/>
      <c r="BX40" s="283"/>
      <c r="BY40" s="283"/>
      <c r="BZ40" s="283"/>
      <c r="CA40" s="207"/>
      <c r="CB40" s="207"/>
      <c r="CC40" s="283"/>
      <c r="CD40" s="283"/>
      <c r="CE40" s="283"/>
      <c r="CF40" s="283"/>
      <c r="CG40" s="283"/>
      <c r="CH40" s="283"/>
      <c r="CI40" s="283"/>
      <c r="CJ40" s="283"/>
      <c r="CK40" s="283"/>
      <c r="CL40" s="283"/>
      <c r="CM40" s="283"/>
      <c r="CN40" s="207"/>
      <c r="CO40" s="207"/>
      <c r="CP40" s="283"/>
      <c r="CQ40" s="283"/>
      <c r="CR40" s="283"/>
      <c r="CS40" s="283"/>
      <c r="CT40" s="283"/>
      <c r="CU40" s="283"/>
      <c r="CV40" s="283"/>
      <c r="CW40" s="283"/>
      <c r="CX40" s="283"/>
      <c r="CY40" s="283"/>
      <c r="CZ40" s="283"/>
      <c r="DA40" s="207"/>
      <c r="DB40" s="207"/>
      <c r="DC40" s="283"/>
      <c r="DD40" s="283"/>
      <c r="DE40" s="283"/>
      <c r="DF40" s="283"/>
      <c r="DG40" s="283"/>
      <c r="DH40" s="283"/>
      <c r="DI40" s="283"/>
      <c r="DJ40" s="283"/>
      <c r="DK40" s="283"/>
      <c r="DL40" s="283"/>
      <c r="DM40" s="283"/>
      <c r="DN40" s="207"/>
      <c r="DO40" s="207"/>
      <c r="DP40" s="283"/>
      <c r="DQ40" s="283"/>
      <c r="DR40" s="283"/>
      <c r="DS40" s="283"/>
      <c r="DT40" s="283"/>
      <c r="DU40" s="283"/>
      <c r="DV40" s="283"/>
      <c r="DW40" s="283"/>
      <c r="DX40" s="283"/>
      <c r="DY40" s="283"/>
      <c r="DZ40" s="283"/>
      <c r="EA40" s="207"/>
      <c r="EB40" s="207"/>
      <c r="EC40" s="283"/>
      <c r="ED40" s="283"/>
      <c r="EE40" s="283"/>
      <c r="EF40" s="283"/>
      <c r="EG40" s="283"/>
      <c r="EH40" s="283"/>
      <c r="EI40" s="283"/>
      <c r="EJ40" s="283"/>
      <c r="EK40" s="283"/>
      <c r="EL40" s="283"/>
      <c r="EM40" s="283"/>
      <c r="EN40" s="207"/>
      <c r="EO40" s="207"/>
      <c r="EP40" s="283"/>
      <c r="EQ40" s="283"/>
      <c r="ER40" s="283"/>
      <c r="ES40" s="283"/>
      <c r="ET40" s="283"/>
      <c r="EU40" s="283"/>
      <c r="EV40" s="283"/>
      <c r="EW40" s="283"/>
      <c r="EX40" s="283"/>
      <c r="EY40" s="283"/>
      <c r="EZ40" s="283"/>
      <c r="FA40" s="207"/>
      <c r="FB40" s="207"/>
      <c r="FC40" s="283"/>
      <c r="FD40" s="283"/>
      <c r="FE40" s="283"/>
      <c r="FF40" s="283"/>
      <c r="FG40" s="283"/>
      <c r="FH40" s="283"/>
      <c r="FI40" s="283"/>
      <c r="FJ40" s="283"/>
      <c r="FK40" s="283"/>
      <c r="FL40" s="283"/>
      <c r="FM40" s="283"/>
      <c r="FN40" s="207"/>
      <c r="FO40" s="207"/>
      <c r="FP40" s="283"/>
      <c r="FQ40" s="283"/>
      <c r="FR40" s="283"/>
      <c r="FS40" s="283"/>
      <c r="FT40" s="283"/>
      <c r="FU40" s="283"/>
      <c r="FV40" s="283"/>
      <c r="FW40" s="283"/>
      <c r="FX40" s="283"/>
      <c r="FY40" s="283"/>
      <c r="FZ40" s="283"/>
      <c r="GA40" s="207"/>
      <c r="GB40" s="207"/>
      <c r="GC40" s="283"/>
      <c r="GD40" s="283"/>
      <c r="GE40" s="283"/>
      <c r="GF40" s="283"/>
      <c r="GG40" s="283"/>
      <c r="GH40" s="283"/>
      <c r="GI40" s="283"/>
      <c r="GJ40" s="283"/>
      <c r="GK40" s="283"/>
      <c r="GL40" s="283"/>
      <c r="GM40" s="283"/>
      <c r="GN40" s="207"/>
      <c r="GO40" s="207"/>
      <c r="GP40" s="283"/>
      <c r="GQ40" s="283"/>
      <c r="GR40" s="283"/>
      <c r="GS40" s="283"/>
      <c r="GT40" s="283"/>
      <c r="GU40" s="283"/>
      <c r="GV40" s="283"/>
      <c r="GW40" s="283"/>
      <c r="GX40" s="283"/>
      <c r="GY40" s="283"/>
      <c r="GZ40" s="283"/>
      <c r="HA40" s="207"/>
      <c r="HB40" s="207"/>
      <c r="HC40" s="283"/>
      <c r="HD40" s="283"/>
      <c r="HE40" s="283"/>
      <c r="HF40" s="283"/>
      <c r="HG40" s="283"/>
      <c r="HH40" s="283"/>
      <c r="HI40" s="283"/>
      <c r="HJ40" s="283"/>
      <c r="HK40" s="283"/>
      <c r="HL40" s="283"/>
      <c r="HM40" s="283"/>
      <c r="HN40" s="207"/>
      <c r="HO40" s="207"/>
      <c r="HP40" s="283"/>
      <c r="HQ40" s="283"/>
      <c r="HR40" s="283"/>
      <c r="HS40" s="283"/>
      <c r="HT40" s="283"/>
      <c r="HU40" s="283"/>
      <c r="HV40" s="283"/>
      <c r="HW40" s="283"/>
      <c r="HX40" s="283"/>
      <c r="HY40" s="283"/>
      <c r="HZ40" s="283"/>
      <c r="IA40" s="207"/>
      <c r="IB40" s="207"/>
      <c r="IC40" s="283"/>
      <c r="ID40" s="283"/>
      <c r="IE40" s="283"/>
      <c r="IF40" s="283"/>
      <c r="IG40" s="283"/>
      <c r="IH40" s="283"/>
      <c r="II40" s="283"/>
      <c r="IJ40" s="283"/>
      <c r="IK40" s="283"/>
      <c r="IL40" s="283"/>
      <c r="IM40" s="283"/>
      <c r="IN40" s="207"/>
      <c r="IO40" s="207"/>
      <c r="IP40" s="283"/>
      <c r="IQ40" s="283"/>
      <c r="IR40" s="283"/>
      <c r="IS40" s="283"/>
      <c r="IT40" s="283"/>
      <c r="IU40" s="283"/>
      <c r="IV40" s="283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98"/>
      <c r="D70" s="298"/>
      <c r="E70" s="298"/>
      <c r="F70" s="298"/>
      <c r="G70" s="298"/>
      <c r="H70" s="298"/>
      <c r="I70" s="298"/>
      <c r="J70" s="298"/>
      <c r="K70" s="298"/>
      <c r="L70" s="298"/>
      <c r="M70" s="299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0" t="s">
        <v>848</v>
      </c>
      <c r="B72" s="300"/>
      <c r="C72" s="300"/>
      <c r="D72" s="300"/>
      <c r="E72" s="300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1"/>
      <c r="B74" s="211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1"/>
      <c r="B75" s="211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1"/>
      <c r="B76" s="211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1"/>
      <c r="B77" s="211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1"/>
      <c r="B78" s="211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1"/>
      <c r="B79" s="211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1"/>
      <c r="B80" s="211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1"/>
      <c r="B81" s="211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1"/>
      <c r="B82" s="211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1"/>
      <c r="B83" s="211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1"/>
      <c r="B84" s="211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1"/>
      <c r="B85" s="211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1"/>
      <c r="B86" s="211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1"/>
      <c r="B87" s="211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1"/>
      <c r="B88" s="211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1"/>
      <c r="B89" s="211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1"/>
      <c r="B90" s="211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A3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2015-05-12T14:17:11Z</cp:lastPrinted>
  <dcterms:created xsi:type="dcterms:W3CDTF">1997-12-04T19:04:30Z</dcterms:created>
  <dcterms:modified xsi:type="dcterms:W3CDTF">2015-11-25T15:22:58Z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