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4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39" i="12"/>
  <c r="F22" i="1"/>
  <c r="F465" i="1"/>
  <c r="H24" i="1" l="1"/>
  <c r="I611" i="1"/>
  <c r="H613" i="1"/>
  <c r="H612" i="1"/>
  <c r="H611" i="1"/>
  <c r="G612" i="1"/>
  <c r="G611" i="1"/>
  <c r="F613" i="1"/>
  <c r="G613" i="1" s="1"/>
  <c r="F612" i="1"/>
  <c r="F611" i="1"/>
  <c r="H582" i="1"/>
  <c r="F583" i="1"/>
  <c r="F582" i="1"/>
  <c r="G582" i="1"/>
  <c r="H583" i="1"/>
  <c r="G583" i="1"/>
  <c r="H579" i="1"/>
  <c r="I564" i="1"/>
  <c r="I563" i="1"/>
  <c r="I562" i="1"/>
  <c r="H564" i="1"/>
  <c r="H563" i="1"/>
  <c r="H562" i="1"/>
  <c r="G563" i="1"/>
  <c r="G564" i="1"/>
  <c r="G562" i="1"/>
  <c r="F564" i="1"/>
  <c r="F563" i="1"/>
  <c r="F562" i="1"/>
  <c r="G533" i="1" l="1"/>
  <c r="G532" i="1"/>
  <c r="G531" i="1"/>
  <c r="G523" i="1"/>
  <c r="G522" i="1"/>
  <c r="G521" i="1"/>
  <c r="H523" i="1"/>
  <c r="H522" i="1"/>
  <c r="H521" i="1"/>
  <c r="I528" i="1" l="1"/>
  <c r="I527" i="1"/>
  <c r="I526" i="1"/>
  <c r="I523" i="1"/>
  <c r="I522" i="1"/>
  <c r="I521" i="1"/>
  <c r="H528" i="1"/>
  <c r="H527" i="1"/>
  <c r="H526" i="1"/>
  <c r="K523" i="1"/>
  <c r="K522" i="1"/>
  <c r="K521" i="1"/>
  <c r="J523" i="1"/>
  <c r="J522" i="1"/>
  <c r="J521" i="1"/>
  <c r="H532" i="1"/>
  <c r="H543" i="1"/>
  <c r="H542" i="1"/>
  <c r="H541" i="1"/>
  <c r="H538" i="1"/>
  <c r="H537" i="1"/>
  <c r="H536" i="1"/>
  <c r="G527" i="1"/>
  <c r="G528" i="1"/>
  <c r="G526" i="1"/>
  <c r="F523" i="1"/>
  <c r="F531" i="1"/>
  <c r="F528" i="1"/>
  <c r="F527" i="1"/>
  <c r="F526" i="1"/>
  <c r="F533" i="1"/>
  <c r="F532" i="1"/>
  <c r="F522" i="1"/>
  <c r="F521" i="1"/>
  <c r="F502" i="1"/>
  <c r="F498" i="1"/>
  <c r="H233" i="1" l="1"/>
  <c r="H215" i="1"/>
  <c r="H197" i="1"/>
  <c r="K233" i="1"/>
  <c r="G233" i="1"/>
  <c r="G215" i="1"/>
  <c r="G197" i="1"/>
  <c r="F233" i="1"/>
  <c r="F215" i="1"/>
  <c r="F197" i="1"/>
  <c r="H244" i="1"/>
  <c r="H226" i="1"/>
  <c r="H208" i="1"/>
  <c r="H240" i="1"/>
  <c r="H222" i="1"/>
  <c r="H205" i="1"/>
  <c r="K204" i="1"/>
  <c r="K222" i="1"/>
  <c r="K240" i="1"/>
  <c r="J215" i="1"/>
  <c r="I243" i="1"/>
  <c r="G234" i="1"/>
  <c r="G216" i="1"/>
  <c r="G198" i="1"/>
  <c r="G224" i="1"/>
  <c r="G239" i="1"/>
  <c r="G238" i="1"/>
  <c r="G236" i="1"/>
  <c r="G235" i="1"/>
  <c r="G221" i="1"/>
  <c r="G220" i="1"/>
  <c r="G218" i="1"/>
  <c r="G217" i="1"/>
  <c r="G203" i="1"/>
  <c r="G202" i="1"/>
  <c r="G243" i="1"/>
  <c r="G225" i="1"/>
  <c r="G207" i="1"/>
  <c r="G240" i="1"/>
  <c r="G222" i="1"/>
  <c r="G204" i="1"/>
  <c r="G241" i="1"/>
  <c r="G223" i="1"/>
  <c r="G205" i="1"/>
  <c r="H198" i="1"/>
  <c r="H216" i="1"/>
  <c r="H234" i="1"/>
  <c r="K234" i="1"/>
  <c r="K216" i="1"/>
  <c r="K198" i="1"/>
  <c r="J234" i="1"/>
  <c r="J216" i="1"/>
  <c r="J198" i="1"/>
  <c r="I234" i="1"/>
  <c r="I216" i="1"/>
  <c r="I198" i="1"/>
  <c r="F234" i="1"/>
  <c r="F216" i="1"/>
  <c r="F198" i="1"/>
  <c r="F204" i="1"/>
  <c r="F240" i="1"/>
  <c r="F222" i="1"/>
  <c r="G242" i="1"/>
  <c r="G206" i="1"/>
  <c r="K203" i="1"/>
  <c r="J243" i="1"/>
  <c r="J225" i="1"/>
  <c r="J207" i="1"/>
  <c r="J238" i="1"/>
  <c r="J220" i="1"/>
  <c r="J202" i="1"/>
  <c r="J222" i="1"/>
  <c r="I244" i="1"/>
  <c r="I226" i="1"/>
  <c r="I208" i="1"/>
  <c r="I240" i="1"/>
  <c r="I222" i="1"/>
  <c r="I204" i="1"/>
  <c r="I239" i="1"/>
  <c r="I221" i="1"/>
  <c r="I203" i="1"/>
  <c r="I205" i="1"/>
  <c r="I202" i="1"/>
  <c r="I215" i="1"/>
  <c r="H225" i="1"/>
  <c r="H207" i="1"/>
  <c r="H221" i="1"/>
  <c r="H204" i="1"/>
  <c r="H239" i="1"/>
  <c r="H203" i="1"/>
  <c r="H238" i="1"/>
  <c r="H220" i="1"/>
  <c r="H202" i="1"/>
  <c r="H243" i="1"/>
  <c r="F24" i="1" l="1"/>
  <c r="F243" i="1" l="1"/>
  <c r="F207" i="1"/>
  <c r="F225" i="1"/>
  <c r="F239" i="1"/>
  <c r="F221" i="1"/>
  <c r="F203" i="1"/>
  <c r="F242" i="1" l="1"/>
  <c r="F238" i="1"/>
  <c r="F205" i="1"/>
  <c r="F224" i="1"/>
  <c r="F206" i="1"/>
  <c r="F235" i="1"/>
  <c r="F217" i="1"/>
  <c r="K266" i="1"/>
  <c r="K263" i="1"/>
  <c r="J465" i="1"/>
  <c r="J468" i="1" l="1"/>
  <c r="G472" i="1"/>
  <c r="H472" i="1"/>
  <c r="I468" i="1"/>
  <c r="H468" i="1"/>
  <c r="G468" i="1"/>
  <c r="F468" i="1"/>
  <c r="F117" i="1"/>
  <c r="F98" i="1"/>
  <c r="F63" i="1"/>
  <c r="F73" i="1"/>
  <c r="F69" i="1"/>
  <c r="F70" i="1"/>
  <c r="F57" i="1"/>
  <c r="F49" i="1" l="1"/>
  <c r="F30" i="1" l="1"/>
  <c r="F14" i="1"/>
  <c r="G439" i="1"/>
  <c r="F9" i="1"/>
  <c r="F36" i="1" l="1"/>
  <c r="F17" i="1"/>
  <c r="F459" i="1"/>
  <c r="I400" i="1"/>
  <c r="G440" i="1" l="1"/>
  <c r="F10" i="1" l="1"/>
  <c r="H22" i="1"/>
  <c r="F12" i="1"/>
  <c r="K241" i="1"/>
  <c r="J241" i="1"/>
  <c r="G43" i="1"/>
  <c r="H245" i="1"/>
  <c r="H241" i="1"/>
  <c r="I241" i="1"/>
  <c r="F241" i="1"/>
  <c r="J239" i="1"/>
  <c r="I238" i="1"/>
  <c r="K236" i="1"/>
  <c r="J236" i="1"/>
  <c r="I236" i="1"/>
  <c r="H236" i="1"/>
  <c r="F236" i="1"/>
  <c r="I235" i="1"/>
  <c r="H235" i="1"/>
  <c r="J235" i="1"/>
  <c r="J233" i="1"/>
  <c r="I233" i="1"/>
  <c r="I225" i="1" l="1"/>
  <c r="K223" i="1"/>
  <c r="J223" i="1"/>
  <c r="I223" i="1"/>
  <c r="H223" i="1"/>
  <c r="F223" i="1"/>
  <c r="J221" i="1"/>
  <c r="I220" i="1"/>
  <c r="F220" i="1"/>
  <c r="K218" i="1"/>
  <c r="J218" i="1"/>
  <c r="I218" i="1"/>
  <c r="H218" i="1"/>
  <c r="F218" i="1"/>
  <c r="J217" i="1"/>
  <c r="I217" i="1"/>
  <c r="H217" i="1"/>
  <c r="K215" i="1"/>
  <c r="I207" i="1"/>
  <c r="K205" i="1"/>
  <c r="J203" i="1"/>
  <c r="F202" i="1"/>
  <c r="K200" i="1"/>
  <c r="I200" i="1"/>
  <c r="H200" i="1"/>
  <c r="F200" i="1"/>
  <c r="K197" i="1"/>
  <c r="J197" i="1"/>
  <c r="I197" i="1"/>
  <c r="H13" i="1" l="1"/>
  <c r="H301" i="1"/>
  <c r="H155" i="1"/>
  <c r="H321" i="1"/>
  <c r="H320" i="1"/>
  <c r="H319" i="1"/>
  <c r="F319" i="1"/>
  <c r="H154" i="1" l="1"/>
  <c r="I281" i="1"/>
  <c r="J281" i="1"/>
  <c r="I276" i="1"/>
  <c r="G276" i="1"/>
  <c r="F276" i="1"/>
  <c r="G179" i="1" l="1"/>
  <c r="G97" i="1" l="1"/>
  <c r="G96" i="1"/>
  <c r="G158" i="1"/>
  <c r="G99" i="1"/>
  <c r="G22" i="1"/>
  <c r="G13" i="1"/>
  <c r="G9" i="1"/>
  <c r="H157" i="1" l="1"/>
  <c r="H152" i="1"/>
  <c r="H151" i="1"/>
  <c r="H282" i="1"/>
  <c r="K322" i="1"/>
  <c r="H322" i="1"/>
  <c r="K316" i="1"/>
  <c r="J316" i="1"/>
  <c r="I316" i="1"/>
  <c r="H316" i="1"/>
  <c r="K344" i="1"/>
  <c r="I314" i="1"/>
  <c r="G314" i="1"/>
  <c r="F314" i="1"/>
  <c r="H277" i="1"/>
  <c r="H315" i="1"/>
  <c r="H296" i="1"/>
  <c r="G296" i="1"/>
  <c r="F296" i="1"/>
  <c r="F277" i="1"/>
  <c r="G277" i="1"/>
  <c r="H284" i="1"/>
  <c r="G320" i="1"/>
  <c r="F320" i="1"/>
  <c r="I301" i="1"/>
  <c r="G301" i="1"/>
  <c r="G282" i="1"/>
  <c r="F301" i="1"/>
  <c r="F282" i="1"/>
  <c r="I320" i="1"/>
  <c r="K276" i="1"/>
  <c r="H286" i="1"/>
  <c r="G284" i="1"/>
  <c r="F284" i="1"/>
  <c r="G281" i="1"/>
  <c r="F281" i="1"/>
  <c r="H368" i="1" l="1"/>
  <c r="G368" i="1"/>
  <c r="F368" i="1"/>
  <c r="H367" i="1"/>
  <c r="G367" i="1"/>
  <c r="F367" i="1"/>
  <c r="I358" i="1"/>
  <c r="I360" i="1"/>
  <c r="I359" i="1"/>
  <c r="H360" i="1"/>
  <c r="H359" i="1"/>
  <c r="H358" i="1"/>
  <c r="J360" i="1"/>
  <c r="J359" i="1"/>
  <c r="K359" i="1"/>
  <c r="J358" i="1"/>
  <c r="K360" i="1"/>
  <c r="K358" i="1"/>
  <c r="G360" i="1"/>
  <c r="G358" i="1"/>
  <c r="G359" i="1"/>
  <c r="F360" i="1" l="1"/>
  <c r="F359" i="1"/>
  <c r="F358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E16" i="13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9" i="1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F78" i="2" s="1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C114" i="2"/>
  <c r="D115" i="2"/>
  <c r="F115" i="2"/>
  <c r="G115" i="2"/>
  <c r="E123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0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H604" i="1" s="1"/>
  <c r="K211" i="1"/>
  <c r="F229" i="1"/>
  <c r="G229" i="1"/>
  <c r="H229" i="1"/>
  <c r="I229" i="1"/>
  <c r="J229" i="1"/>
  <c r="I604" i="1" s="1"/>
  <c r="K229" i="1"/>
  <c r="F247" i="1"/>
  <c r="G247" i="1"/>
  <c r="H247" i="1"/>
  <c r="I247" i="1"/>
  <c r="J247" i="1"/>
  <c r="J604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F461" i="1" s="1"/>
  <c r="H639" i="1" s="1"/>
  <c r="H460" i="1"/>
  <c r="H461" i="1"/>
  <c r="H641" i="1" s="1"/>
  <c r="F470" i="1"/>
  <c r="G470" i="1"/>
  <c r="H470" i="1"/>
  <c r="I470" i="1"/>
  <c r="J470" i="1"/>
  <c r="G474" i="1"/>
  <c r="G476" i="1" s="1"/>
  <c r="H623" i="1" s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F614" i="1"/>
  <c r="G614" i="1"/>
  <c r="H614" i="1"/>
  <c r="I614" i="1"/>
  <c r="J614" i="1"/>
  <c r="K614" i="1"/>
  <c r="G618" i="1"/>
  <c r="G619" i="1"/>
  <c r="G623" i="1"/>
  <c r="G624" i="1"/>
  <c r="H627" i="1"/>
  <c r="H628" i="1"/>
  <c r="H629" i="1"/>
  <c r="H630" i="1"/>
  <c r="H631" i="1"/>
  <c r="H633" i="1"/>
  <c r="H635" i="1"/>
  <c r="H636" i="1"/>
  <c r="J636" i="1" s="1"/>
  <c r="H637" i="1"/>
  <c r="G639" i="1"/>
  <c r="G641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D18" i="2"/>
  <c r="G161" i="2"/>
  <c r="E103" i="2"/>
  <c r="D91" i="2"/>
  <c r="G62" i="2"/>
  <c r="E78" i="2"/>
  <c r="L433" i="1"/>
  <c r="I169" i="1"/>
  <c r="H476" i="1"/>
  <c r="H624" i="1" s="1"/>
  <c r="J140" i="1"/>
  <c r="K545" i="1"/>
  <c r="J552" i="1"/>
  <c r="H140" i="1"/>
  <c r="J545" i="1"/>
  <c r="G192" i="1"/>
  <c r="H192" i="1"/>
  <c r="L570" i="1"/>
  <c r="G36" i="2"/>
  <c r="A31" i="12" l="1"/>
  <c r="A13" i="12"/>
  <c r="J651" i="1"/>
  <c r="H571" i="1"/>
  <c r="L565" i="1"/>
  <c r="L571" i="1" s="1"/>
  <c r="I545" i="1"/>
  <c r="H545" i="1"/>
  <c r="L544" i="1"/>
  <c r="I552" i="1"/>
  <c r="G545" i="1"/>
  <c r="H552" i="1"/>
  <c r="L534" i="1"/>
  <c r="K551" i="1"/>
  <c r="L524" i="1"/>
  <c r="F552" i="1"/>
  <c r="K503" i="1"/>
  <c r="J624" i="1"/>
  <c r="C120" i="2"/>
  <c r="C16" i="10"/>
  <c r="C119" i="2"/>
  <c r="F257" i="1"/>
  <c r="F271" i="1" s="1"/>
  <c r="L270" i="1"/>
  <c r="J645" i="1"/>
  <c r="J644" i="1"/>
  <c r="I476" i="1"/>
  <c r="H625" i="1" s="1"/>
  <c r="C81" i="2"/>
  <c r="G640" i="1"/>
  <c r="G459" i="1"/>
  <c r="J639" i="1"/>
  <c r="E31" i="2"/>
  <c r="G663" i="1"/>
  <c r="J605" i="1"/>
  <c r="H663" i="1"/>
  <c r="K604" i="1"/>
  <c r="K605" i="1" s="1"/>
  <c r="G648" i="1" s="1"/>
  <c r="H605" i="1"/>
  <c r="J257" i="1"/>
  <c r="J271" i="1" s="1"/>
  <c r="F663" i="1"/>
  <c r="J623" i="1"/>
  <c r="D50" i="2"/>
  <c r="C123" i="2"/>
  <c r="C121" i="2"/>
  <c r="A40" i="12"/>
  <c r="G257" i="1"/>
  <c r="G271" i="1" s="1"/>
  <c r="G662" i="1"/>
  <c r="I257" i="1"/>
  <c r="I271" i="1" s="1"/>
  <c r="C13" i="10"/>
  <c r="C110" i="2"/>
  <c r="L229" i="1"/>
  <c r="G660" i="1" s="1"/>
  <c r="C20" i="10"/>
  <c r="D14" i="13"/>
  <c r="C14" i="13" s="1"/>
  <c r="D7" i="13"/>
  <c r="C7" i="13" s="1"/>
  <c r="C112" i="2"/>
  <c r="L211" i="1"/>
  <c r="C109" i="2"/>
  <c r="D5" i="13"/>
  <c r="C5" i="13" s="1"/>
  <c r="H257" i="1"/>
  <c r="H271" i="1" s="1"/>
  <c r="E120" i="2"/>
  <c r="C17" i="10"/>
  <c r="D31" i="2"/>
  <c r="D62" i="2"/>
  <c r="D63" i="2" s="1"/>
  <c r="C18" i="10"/>
  <c r="E121" i="2"/>
  <c r="E111" i="2"/>
  <c r="L328" i="1"/>
  <c r="H338" i="1"/>
  <c r="H352" i="1" s="1"/>
  <c r="C11" i="10"/>
  <c r="E110" i="2"/>
  <c r="E119" i="2"/>
  <c r="F338" i="1"/>
  <c r="F352" i="1" s="1"/>
  <c r="K338" i="1"/>
  <c r="K352" i="1" s="1"/>
  <c r="J634" i="1"/>
  <c r="D29" i="13"/>
  <c r="C29" i="13" s="1"/>
  <c r="L362" i="1"/>
  <c r="G635" i="1" s="1"/>
  <c r="J635" i="1" s="1"/>
  <c r="L256" i="1"/>
  <c r="F112" i="1"/>
  <c r="C36" i="10" s="1"/>
  <c r="C56" i="2"/>
  <c r="L393" i="1"/>
  <c r="C138" i="2" s="1"/>
  <c r="E130" i="2"/>
  <c r="C29" i="10"/>
  <c r="C25" i="10"/>
  <c r="H25" i="13"/>
  <c r="E122" i="2"/>
  <c r="E118" i="2"/>
  <c r="E109" i="2"/>
  <c r="H661" i="1"/>
  <c r="D127" i="2"/>
  <c r="D128" i="2" s="1"/>
  <c r="D145" i="2" s="1"/>
  <c r="C21" i="10"/>
  <c r="H647" i="1"/>
  <c r="F662" i="1"/>
  <c r="C124" i="2"/>
  <c r="G649" i="1"/>
  <c r="J649" i="1" s="1"/>
  <c r="D15" i="13"/>
  <c r="C15" i="13" s="1"/>
  <c r="C118" i="2"/>
  <c r="D6" i="13"/>
  <c r="C6" i="13" s="1"/>
  <c r="C15" i="10"/>
  <c r="L247" i="1"/>
  <c r="C12" i="10"/>
  <c r="C111" i="2"/>
  <c r="C122" i="2"/>
  <c r="C19" i="10"/>
  <c r="C35" i="10"/>
  <c r="K550" i="1"/>
  <c r="H112" i="1"/>
  <c r="E13" i="13"/>
  <c r="C13" i="13" s="1"/>
  <c r="L290" i="1"/>
  <c r="F660" i="1" s="1"/>
  <c r="K598" i="1"/>
  <c r="G647" i="1" s="1"/>
  <c r="K571" i="1"/>
  <c r="L539" i="1"/>
  <c r="J641" i="1"/>
  <c r="J571" i="1"/>
  <c r="I52" i="1"/>
  <c r="H620" i="1" s="1"/>
  <c r="J620" i="1" s="1"/>
  <c r="G625" i="1"/>
  <c r="G164" i="2"/>
  <c r="G156" i="2"/>
  <c r="C18" i="2"/>
  <c r="G549" i="1"/>
  <c r="L529" i="1"/>
  <c r="F130" i="2"/>
  <c r="F144" i="2" s="1"/>
  <c r="F145" i="2" s="1"/>
  <c r="L401" i="1"/>
  <c r="C139" i="2" s="1"/>
  <c r="L351" i="1"/>
  <c r="F661" i="1"/>
  <c r="C10" i="10"/>
  <c r="C16" i="13"/>
  <c r="F22" i="13"/>
  <c r="C22" i="13" s="1"/>
  <c r="E8" i="13"/>
  <c r="C8" i="13" s="1"/>
  <c r="D12" i="13"/>
  <c r="C12" i="13" s="1"/>
  <c r="K500" i="1"/>
  <c r="J625" i="1"/>
  <c r="I452" i="1"/>
  <c r="I446" i="1"/>
  <c r="G642" i="1" s="1"/>
  <c r="K257" i="1"/>
  <c r="K271" i="1" s="1"/>
  <c r="G157" i="2"/>
  <c r="F81" i="2"/>
  <c r="G661" i="1"/>
  <c r="C62" i="2"/>
  <c r="J338" i="1"/>
  <c r="J352" i="1" s="1"/>
  <c r="E81" i="2"/>
  <c r="L614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E104" i="2" s="1"/>
  <c r="D5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G16" i="2"/>
  <c r="J19" i="1"/>
  <c r="G621" i="1" s="1"/>
  <c r="G18" i="2"/>
  <c r="F545" i="1"/>
  <c r="H434" i="1"/>
  <c r="J619" i="1"/>
  <c r="D103" i="2"/>
  <c r="I140" i="1"/>
  <c r="I193" i="1" s="1"/>
  <c r="G630" i="1" s="1"/>
  <c r="J630" i="1" s="1"/>
  <c r="A22" i="12"/>
  <c r="H648" i="1"/>
  <c r="J652" i="1"/>
  <c r="G571" i="1"/>
  <c r="I434" i="1"/>
  <c r="G434" i="1"/>
  <c r="G638" i="1" l="1"/>
  <c r="J472" i="1"/>
  <c r="L545" i="1"/>
  <c r="I662" i="1"/>
  <c r="G104" i="2"/>
  <c r="C63" i="2"/>
  <c r="C104" i="2" s="1"/>
  <c r="G460" i="1"/>
  <c r="G461" i="1" s="1"/>
  <c r="H640" i="1" s="1"/>
  <c r="J640" i="1" s="1"/>
  <c r="I459" i="1"/>
  <c r="F51" i="1"/>
  <c r="C49" i="2"/>
  <c r="C50" i="2" s="1"/>
  <c r="C51" i="2" s="1"/>
  <c r="E51" i="2"/>
  <c r="I605" i="1"/>
  <c r="J648" i="1"/>
  <c r="I663" i="1"/>
  <c r="H660" i="1"/>
  <c r="I660" i="1" s="1"/>
  <c r="J647" i="1"/>
  <c r="C115" i="2"/>
  <c r="L257" i="1"/>
  <c r="L271" i="1" s="1"/>
  <c r="D104" i="2"/>
  <c r="E115" i="2"/>
  <c r="L338" i="1"/>
  <c r="L352" i="1" s="1"/>
  <c r="G633" i="1" s="1"/>
  <c r="J633" i="1" s="1"/>
  <c r="I661" i="1"/>
  <c r="G664" i="1"/>
  <c r="G667" i="1" s="1"/>
  <c r="C27" i="10"/>
  <c r="C28" i="10" s="1"/>
  <c r="F664" i="1"/>
  <c r="C25" i="13"/>
  <c r="H33" i="13"/>
  <c r="L408" i="1"/>
  <c r="G552" i="1"/>
  <c r="K549" i="1"/>
  <c r="K552" i="1" s="1"/>
  <c r="C128" i="2"/>
  <c r="D31" i="13"/>
  <c r="C31" i="13" s="1"/>
  <c r="C141" i="2"/>
  <c r="C144" i="2" s="1"/>
  <c r="E33" i="13"/>
  <c r="D35" i="13" s="1"/>
  <c r="E128" i="2"/>
  <c r="G631" i="1"/>
  <c r="J631" i="1" s="1"/>
  <c r="G193" i="1"/>
  <c r="G628" i="1" s="1"/>
  <c r="J628" i="1" s="1"/>
  <c r="C38" i="10"/>
  <c r="J474" i="1" l="1"/>
  <c r="J476" i="1" s="1"/>
  <c r="H626" i="1" s="1"/>
  <c r="H638" i="1"/>
  <c r="J638" i="1" s="1"/>
  <c r="G632" i="1"/>
  <c r="F472" i="1"/>
  <c r="J48" i="1"/>
  <c r="I460" i="1"/>
  <c r="I461" i="1" s="1"/>
  <c r="H642" i="1" s="1"/>
  <c r="J642" i="1" s="1"/>
  <c r="G622" i="1"/>
  <c r="F52" i="1"/>
  <c r="H617" i="1" s="1"/>
  <c r="J617" i="1" s="1"/>
  <c r="H664" i="1"/>
  <c r="H672" i="1" s="1"/>
  <c r="C6" i="10" s="1"/>
  <c r="C145" i="2"/>
  <c r="D33" i="13"/>
  <c r="D36" i="13" s="1"/>
  <c r="E145" i="2"/>
  <c r="I664" i="1"/>
  <c r="I672" i="1" s="1"/>
  <c r="C7" i="10" s="1"/>
  <c r="G672" i="1"/>
  <c r="C5" i="10" s="1"/>
  <c r="D23" i="10"/>
  <c r="D22" i="10"/>
  <c r="D25" i="10"/>
  <c r="D18" i="10"/>
  <c r="D19" i="10"/>
  <c r="D17" i="10"/>
  <c r="D13" i="10"/>
  <c r="D12" i="10"/>
  <c r="D11" i="10"/>
  <c r="D20" i="10"/>
  <c r="D24" i="10"/>
  <c r="D21" i="10"/>
  <c r="D15" i="10"/>
  <c r="D27" i="10"/>
  <c r="D10" i="10"/>
  <c r="D26" i="10"/>
  <c r="C30" i="10"/>
  <c r="D16" i="10"/>
  <c r="H667" i="1"/>
  <c r="G637" i="1"/>
  <c r="J637" i="1" s="1"/>
  <c r="H646" i="1"/>
  <c r="J646" i="1" s="1"/>
  <c r="F672" i="1"/>
  <c r="C4" i="10" s="1"/>
  <c r="F667" i="1"/>
  <c r="C41" i="10"/>
  <c r="D38" i="10" s="1"/>
  <c r="H632" i="1" l="1"/>
  <c r="J632" i="1" s="1"/>
  <c r="F474" i="1"/>
  <c r="F476" i="1" s="1"/>
  <c r="H622" i="1" s="1"/>
  <c r="J622" i="1" s="1"/>
  <c r="G47" i="2"/>
  <c r="G50" i="2" s="1"/>
  <c r="G51" i="2" s="1"/>
  <c r="J51" i="1"/>
  <c r="I667" i="1"/>
  <c r="D28" i="10"/>
  <c r="D37" i="10"/>
  <c r="D36" i="10"/>
  <c r="D35" i="10"/>
  <c r="D40" i="10"/>
  <c r="D39" i="10"/>
  <c r="G626" i="1" l="1"/>
  <c r="J52" i="1"/>
  <c r="H621" i="1" s="1"/>
  <c r="J621" i="1" s="1"/>
  <c r="D41" i="10"/>
  <c r="J626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<sst xmlns="http://schemas.openxmlformats.org/spreadsheetml/2006/main" count="3959" uniqueCount="917">
  <si>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</si>
  <si>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</si>
  <si>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</si>
  <si>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</si>
  <si>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</si>
  <si>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</si>
  <si>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</si>
  <si>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</si>
  <si>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</si>
  <si>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</si>
  <si>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</si>
  <si>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</si>
  <si>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</si>
  <si>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</si>
  <si>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</si>
  <si>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</si>
  <si>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</si>
  <si>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</si>
  <si>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</si>
  <si>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</si>
  <si>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</si>
  <si>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</si>
  <si>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</si>
  <si>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</si>
  <si>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</si>
  <si>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</si>
  <si>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</si>
  <si>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</si>
  <si>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</si>
  <si>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</si>
  <si>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</si>
  <si>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</si>
  <si>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</si>
  <si>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</si>
  <si>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</si>
  <si>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</si>
  <si>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</si>
  <si>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</si>
  <si>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</si>
  <si>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</si>
  <si>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</si>
  <si>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</si>
  <si>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</si>
  <si>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</si>
  <si>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</si>
  <si>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</si>
  <si>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</si>
  <si>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</si>
  <si>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</si>
  <si>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</si>
  <si>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</si>
  <si>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</si>
  <si>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</si>
  <si>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</si>
  <si>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</si>
  <si>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</si>
  <si>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</si>
  <si>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</si>
  <si>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</si>
  <si>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</si>
  <si>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</si>
  <si>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</si>
  <si>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</si>
  <si>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</si>
  <si>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</si>
  <si>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</si>
  <si>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</si>
  <si>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</si>
  <si>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</si>
  <si>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</si>
  <si>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</si>
  <si>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</si>
  <si>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</si>
  <si>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</si>
  <si>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</si>
  <si>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</si>
  <si>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</si>
  <si>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</si>
  <si>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</si>
  <si>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</si>
  <si>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</si>
  <si>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</si>
  <si>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</si>
  <si>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</si>
  <si>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</si>
  <si>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</si>
  <si>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</si>
  <si>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</si>
  <si>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</si>
  <si>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</si>
  <si>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</si>
  <si>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</si>
  <si>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</si>
  <si>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</si>
  <si>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</si>
  <si>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</si>
  <si>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</si>
  <si>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</si>
  <si>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</si>
  <si>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</si>
  <si>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</si>
  <si>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</si>
  <si>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</si>
  <si>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</si>
  <si>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</si>
  <si>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</si>
  <si>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</si>
  <si>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</si>
  <si>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</si>
  <si>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</si>
  <si>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</si>
  <si>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</si>
  <si>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</si>
  <si>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</si>
  <si>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</si>
  <si>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</si>
  <si>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</si>
  <si>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</si>
  <si>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</si>
  <si>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</si>
  <si>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</si>
  <si>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</si>
  <si>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</si>
  <si>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</si>
  <si>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</si>
  <si>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</si>
  <si>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</si>
  <si>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</si>
  <si>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</si>
  <si>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</si>
  <si>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</si>
  <si>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</si>
  <si>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</si>
  <si>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</si>
  <si>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</si>
  <si>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</si>
  <si>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</si>
  <si>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</si>
  <si>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</si>
  <si>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</si>
  <si>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</si>
  <si>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</si>
  <si>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</si>
  <si>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</si>
  <si>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</si>
  <si>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</si>
  <si>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</si>
  <si>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</si>
  <si>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</si>
  <si>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</si>
  <si>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</si>
  <si>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</si>
  <si>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</si>
  <si>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</si>
  <si>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</si>
  <si>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</si>
  <si>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</si>
  <si>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</si>
  <si>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</si>
  <si>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</si>
  <si>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</si>
  <si>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</si>
  <si>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</si>
  <si>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</si>
  <si>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</si>
  <si>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</si>
  <si>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</si>
  <si>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</si>
  <si>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</si>
  <si>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</si>
  <si>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</si>
  <si>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</si>
  <si>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</si>
  <si>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</si>
  <si>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</si>
  <si>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</si>
  <si>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</si>
  <si>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</si>
  <si>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</si>
  <si>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</si>
  <si>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</si>
  <si>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</si>
  <si>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</si>
  <si>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</si>
  <si>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</si>
  <si>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</si>
  <si>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</si>
  <si>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</si>
  <si>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</si>
  <si>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</si>
  <si>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</si>
  <si>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</si>
  <si>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</si>
  <si>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</si>
  <si>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</si>
  <si>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</si>
  <si>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</si>
  <si>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</si>
  <si>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</si>
  <si>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</si>
  <si>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</si>
  <si>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</si>
  <si>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</si>
  <si>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</si>
  <si>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</si>
  <si>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</si>
  <si>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</si>
  <si>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</si>
  <si>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</si>
  <si>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</si>
  <si>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</si>
  <si>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</si>
  <si>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</si>
  <si>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</si>
  <si>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</si>
  <si>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</si>
  <si>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</si>
  <si>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</si>
  <si>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</si>
  <si>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</si>
  <si>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</si>
  <si>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</si>
  <si>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</si>
  <si>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</si>
  <si>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</si>
  <si>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</si>
  <si>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</si>
  <si>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</si>
  <si>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</si>
  <si>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</si>
  <si>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</si>
  <si>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</si>
  <si>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</si>
  <si>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</si>
  <si>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</si>
  <si>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</si>
  <si>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</si>
  <si>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</si>
  <si>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</si>
  <si>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</si>
  <si>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</si>
  <si>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</si>
  <si>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</si>
  <si>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</si>
  <si>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</si>
  <si>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</si>
  <si>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</si>
  <si>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</si>
  <si>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</si>
  <si>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</si>
  <si>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</si>
  <si>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</si>
  <si>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</si>
  <si>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</si>
  <si>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</si>
  <si>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</si>
  <si>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</si>
  <si>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</si>
  <si>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</si>
  <si>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</si>
  <si>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</si>
  <si>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</si>
  <si>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</si>
  <si>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</si>
  <si>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</si>
  <si>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</si>
  <si>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</si>
  <si>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</si>
  <si>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</si>
  <si>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</si>
  <si>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</si>
  <si>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</si>
  <si>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</si>
  <si>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</si>
  <si>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</si>
  <si>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</si>
  <si>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</si>
  <si>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</si>
  <si>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</si>
  <si>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</si>
  <si>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</si>
  <si>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</si>
  <si>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</si>
  <si>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</si>
  <si>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</si>
  <si>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</si>
  <si>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</si>
  <si>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</si>
  <si>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</si>
  <si>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</si>
  <si>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</si>
  <si>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</si>
  <si>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</si>
  <si>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</si>
  <si>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</si>
  <si>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</si>
  <si>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</si>
  <si>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</si>
  <si>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</si>
  <si>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</si>
  <si>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</si>
  <si>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</si>
  <si>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</si>
  <si>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</si>
  <si>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</si>
  <si>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</si>
  <si>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</si>
  <si>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</si>
  <si>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</si>
  <si>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</si>
  <si>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</si>
  <si>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</si>
  <si>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</si>
  <si>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</si>
  <si>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</si>
  <si>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</si>
  <si>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</si>
  <si>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</si>
  <si>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</si>
  <si>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</si>
  <si>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</si>
  <si>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</si>
  <si>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</si>
  <si>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</si>
  <si>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</si>
  <si>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</si>
  <si>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</si>
  <si>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</si>
  <si>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</si>
  <si>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</si>
  <si>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</si>
  <si>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</si>
  <si>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</si>
  <si>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</si>
  <si>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</si>
  <si>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</si>
  <si>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</si>
  <si>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</si>
  <si>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</si>
  <si>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</si>
  <si>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</si>
  <si>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</si>
  <si>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</si>
  <si>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</si>
  <si>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</si>
  <si>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</si>
  <si>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</si>
  <si>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</si>
  <si>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</si>
  <si>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</si>
  <si>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</si>
  <si>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</si>
  <si>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</si>
  <si>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</si>
  <si>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</si>
  <si>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</si>
  <si>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</si>
  <si>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</si>
  <si>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</si>
  <si>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</si>
  <si>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</si>
  <si>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</si>
  <si>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</si>
  <si>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</si>
  <si>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</si>
  <si>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</si>
  <si>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</si>
  <si>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</si>
  <si>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</si>
  <si>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</si>
  <si>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</si>
  <si>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</si>
  <si>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</si>
  <si>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</si>
  <si>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</si>
  <si>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</si>
  <si>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</si>
  <si>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</si>
  <si>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</si>
  <si>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</si>
  <si>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</si>
  <si>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</si>
  <si>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</si>
  <si>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</si>
  <si>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</si>
  <si>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</si>
  <si>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</si>
  <si>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</si>
  <si>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</si>
  <si>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</si>
  <si>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</si>
  <si>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</si>
  <si>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</si>
  <si>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</si>
  <si>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</si>
  <si>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</si>
  <si>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</si>
  <si>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</si>
  <si>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</si>
  <si>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</si>
  <si>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</si>
  <si>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</si>
  <si>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</si>
  <si>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</si>
  <si>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</si>
  <si>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</si>
  <si>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</si>
  <si>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</si>
  <si>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</si>
  <si>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</si>
  <si>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</si>
  <si>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</si>
  <si>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</si>
  <si>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</si>
  <si>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</si>
  <si>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</si>
  <si>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</si>
  <si>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</si>
  <si>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</si>
  <si>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</si>
  <si>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</si>
  <si>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</si>
  <si>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</si>
  <si>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</si>
  <si>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</si>
  <si>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</si>
  <si>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</si>
  <si>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</si>
  <si>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</si>
  <si>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</si>
  <si>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</si>
  <si>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</si>
  <si>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</si>
  <si>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</si>
  <si>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</si>
  <si>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</si>
  <si>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</si>
  <si>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</si>
  <si>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</si>
  <si>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</si>
  <si>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</si>
  <si>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</si>
  <si>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</si>
  <si>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</si>
  <si>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</si>
  <si>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</si>
  <si>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</si>
  <si>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</si>
  <si>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</si>
  <si>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</si>
  <si>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</si>
  <si>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</si>
  <si>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</si>
  <si>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</si>
  <si>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</si>
  <si>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</si>
  <si>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</si>
  <si>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</si>
  <si>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</si>
  <si>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</si>
  <si>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</si>
  <si>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</si>
  <si>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</si>
  <si>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</si>
  <si>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</si>
  <si>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</si>
  <si>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</si>
  <si>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</si>
  <si>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</si>
  <si>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</si>
  <si>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</si>
  <si>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</si>
  <si>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</si>
  <si>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</si>
  <si>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</si>
  <si>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</si>
  <si>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</si>
  <si>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</si>
  <si>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</si>
  <si>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</si>
  <si>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</si>
  <si>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</si>
  <si>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</si>
  <si>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</si>
  <si>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</si>
  <si>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</si>
  <si>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</si>
  <si>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</si>
  <si>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</si>
  <si>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</si>
  <si>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</si>
  <si>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</si>
  <si>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</si>
  <si>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</si>
  <si>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</si>
  <si>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</si>
  <si>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</si>
  <si>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</si>
  <si>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</si>
  <si>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</si>
  <si>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</si>
  <si>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</si>
  <si>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</si>
  <si>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</si>
  <si>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</si>
  <si>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</si>
  <si>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</si>
  <si>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</si>
  <si>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</si>
  <si>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</si>
  <si>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</si>
  <si>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</si>
  <si>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</si>
  <si>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</si>
  <si>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</si>
  <si>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</si>
  <si>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</si>
  <si>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</si>
  <si>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</si>
  <si>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</si>
  <si>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</si>
  <si>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</si>
  <si>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</si>
  <si>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</si>
  <si>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</si>
  <si>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</si>
  <si>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</si>
  <si>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</si>
  <si>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</si>
  <si>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</si>
  <si>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</si>
  <si>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</si>
  <si>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</si>
  <si>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</si>
  <si>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</si>
  <si>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</si>
  <si>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</si>
  <si>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</si>
  <si>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</si>
  <si>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</si>
  <si>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</si>
  <si>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</si>
  <si>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</si>
  <si>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</si>
  <si>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</si>
  <si>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</si>
  <si>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</si>
  <si>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</si>
  <si>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</si>
  <si>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</si>
  <si>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</si>
  <si>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</si>
  <si>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</si>
  <si>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</si>
  <si>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</si>
  <si>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</si>
  <si>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</si>
  <si>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</si>
  <si>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</si>
  <si>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</si>
  <si>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</si>
  <si>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</si>
  <si>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</si>
  <si>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</si>
  <si>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</si>
  <si>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</si>
  <si>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</si>
  <si>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</si>
  <si>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</si>
  <si>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</si>
  <si>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</si>
  <si>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</si>
  <si>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</si>
  <si>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</si>
  <si>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</si>
  <si>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</si>
  <si>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</si>
  <si>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</si>
  <si>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</si>
  <si>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</si>
  <si>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</si>
  <si>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</si>
  <si>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</si>
  <si>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</si>
  <si>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</si>
  <si>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</si>
  <si>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</si>
  <si>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</si>
  <si>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</si>
  <si>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</si>
  <si>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</si>
  <si>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</si>
  <si>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</si>
  <si>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</si>
  <si>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</si>
  <si>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</si>
  <si>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</si>
  <si>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</si>
  <si>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</si>
  <si>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</si>
  <si>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</si>
  <si>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</si>
  <si>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</si>
  <si>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</si>
  <si>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</si>
  <si>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</si>
  <si>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</si>
  <si>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</si>
  <si>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</si>
  <si>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</si>
  <si>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</si>
  <si>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</si>
  <si>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</si>
  <si>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</si>
  <si>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</si>
  <si>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</si>
  <si>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</si>
  <si>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</si>
  <si>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</si>
  <si>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</si>
  <si>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</si>
  <si>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</si>
  <si>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</si>
  <si>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</si>
  <si>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</si>
  <si>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</si>
  <si>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</si>
  <si>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</si>
  <si>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</si>
  <si>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</si>
  <si>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</si>
  <si>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</si>
  <si>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</si>
  <si>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</si>
  <si>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</si>
  <si>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</si>
  <si>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</si>
  <si>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</si>
  <si>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</si>
  <si>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</si>
  <si>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</si>
  <si>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</si>
  <si>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</si>
  <si>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</si>
  <si>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</si>
  <si>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</si>
  <si>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</si>
  <si>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</si>
  <si>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</si>
  <si>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</si>
  <si>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</si>
  <si>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</si>
  <si>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</si>
  <si>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</si>
  <si>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</si>
  <si>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</si>
  <si>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</si>
  <si>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</si>
  <si>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</si>
  <si>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</si>
  <si>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</si>
  <si>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</si>
  <si>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</si>
  <si>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</si>
  <si>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</si>
  <si>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</si>
  <si>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</si>
  <si>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</si>
  <si>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</si>
  <si>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</si>
  <si>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</si>
  <si>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</si>
  <si>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</si>
  <si>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</si>
  <si>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</si>
  <si>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</si>
  <si>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</si>
  <si>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</si>
  <si>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</si>
  <si>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</si>
  <si>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</si>
  <si>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</si>
  <si>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</si>
  <si>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</si>
  <si>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</si>
  <si>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</si>
  <si>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</si>
  <si>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</si>
  <si>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</si>
  <si>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</si>
  <si>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</si>
  <si>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</si>
  <si>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</si>
  <si>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</si>
  <si>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</si>
  <si>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</si>
  <si>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</si>
  <si>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</si>
  <si>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</si>
  <si>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</si>
  <si>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</si>
  <si>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</si>
  <si>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</si>
  <si>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</si>
  <si>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</si>
  <si>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</si>
  <si>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</si>
  <si>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</si>
  <si>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</si>
  <si>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</si>
  <si>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</si>
  <si>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</si>
  <si>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</si>
  <si>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</si>
  <si>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</si>
  <si>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</si>
  <si>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</si>
  <si>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</si>
  <si>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</si>
  <si>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</si>
  <si>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</si>
  <si>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</si>
  <si>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</si>
  <si>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</si>
  <si>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</si>
  <si>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</si>
  <si>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</si>
  <si>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</si>
  <si>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</si>
  <si>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</si>
  <si>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</si>
  <si>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</si>
  <si>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</si>
  <si>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</si>
  <si>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</si>
  <si>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</si>
  <si>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</si>
  <si>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</si>
  <si>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</si>
  <si>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</si>
  <si>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</si>
  <si>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</si>
  <si>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</si>
  <si>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</si>
  <si>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</si>
  <si>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</si>
  <si>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</si>
  <si>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</si>
  <si>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</si>
  <si>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</si>
  <si>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</si>
  <si>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</si>
  <si>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</si>
  <si>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</si>
  <si>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</si>
  <si>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</si>
  <si>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</si>
  <si>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</si>
  <si>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</si>
  <si>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</si>
  <si>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</si>
  <si>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</si>
  <si>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</si>
  <si>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</si>
  <si>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</si>
  <si>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</si>
  <si>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</si>
  <si>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</si>
  <si>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</si>
  <si>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</si>
  <si>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</si>
  <si>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</si>
  <si>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</si>
  <si>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</si>
  <si>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</si>
  <si>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</si>
  <si>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</si>
  <si>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</si>
  <si>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</si>
  <si>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</si>
  <si>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</si>
  <si>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</si>
  <si>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</si>
  <si>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</si>
  <si>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</si>
  <si>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</si>
  <si>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</si>
  <si>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</si>
  <si>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</si>
  <si>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</si>
  <si>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</si>
  <si>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</si>
  <si>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</si>
  <si>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</si>
  <si>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</si>
  <si>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</si>
  <si>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</si>
  <si>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</si>
  <si>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</si>
  <si>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</si>
  <si>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</si>
  <si>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</si>
  <si>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</si>
  <si>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</si>
  <si>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</si>
  <si>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</si>
  <si>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</si>
  <si>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</si>
  <si>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</si>
  <si>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</si>
  <si>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</si>
  <si>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</si>
  <si>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</si>
  <si>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</si>
  <si>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</si>
  <si>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</si>
  <si>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</si>
  <si>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</si>
  <si>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</si>
  <si>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</si>
  <si>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</si>
  <si>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</si>
  <si>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</si>
  <si>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</si>
  <si>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</si>
  <si>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</si>
  <si>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</si>
  <si>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</si>
  <si>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</si>
  <si>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</si>
  <si>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</si>
  <si>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</si>
  <si>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</si>
  <si>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</si>
  <si>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</si>
  <si>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</si>
  <si>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</si>
  <si>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</si>
  <si>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</si>
  <si>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</si>
  <si>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</si>
  <si>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</si>
  <si>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</si>
  <si>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</si>
  <si>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</si>
  <si>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</si>
  <si>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</si>
  <si>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</si>
  <si>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</si>
  <si>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</si>
  <si>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</si>
  <si>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</si>
  <si>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</si>
  <si>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</si>
  <si>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</si>
  <si>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</si>
  <si>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</si>
  <si>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</si>
  <si>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</si>
  <si>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</si>
  <si>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</si>
  <si>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</si>
  <si>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</si>
  <si>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</si>
  <si>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</si>
  <si>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</si>
  <si>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</si>
  <si>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</si>
  <si>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</si>
  <si>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</si>
  <si>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</si>
  <si>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</si>
  <si>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</si>
  <si>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</si>
  <si>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</si>
  <si>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</si>
  <si>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</si>
  <si>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</si>
  <si>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</si>
  <si>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</si>
  <si>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</si>
  <si>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</si>
  <si>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</si>
  <si>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</si>
  <si>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</si>
  <si>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</si>
  <si>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</si>
  <si>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</si>
  <si>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</si>
  <si>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</si>
  <si>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</si>
  <si>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</si>
  <si>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</si>
  <si>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</si>
  <si>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</si>
  <si>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</si>
  <si>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</si>
  <si>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</si>
  <si>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</si>
  <si>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</si>
  <si>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</si>
  <si>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</si>
  <si>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</si>
  <si>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</si>
  <si>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</si>
  <si>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</si>
  <si>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</si>
  <si>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</si>
  <si>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</si>
  <si>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</si>
  <si>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</si>
  <si>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Cash reduced by $16,062 for school trust accounts listed in Trust Fund Column</t>
  </si>
  <si>
    <t>Other local revenue of $733,141 is LGC refund</t>
  </si>
  <si>
    <t>Function 2500 is for Food Service severance</t>
  </si>
  <si>
    <t>0/15/2013</t>
  </si>
  <si>
    <t>02/25/2023</t>
  </si>
  <si>
    <t>Con 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</si>
</sst>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112000</v>
      </c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1991107.36+3700-15196.65-865.48</f>
        <v>1978745.2300000002</v>
      </c>
      <c r="G9" s="18">
        <f>37558.82+300</f>
        <v>37858.82</v>
      </c>
      <c r="H9" s="18"/>
      <c r="I9" s="18"/>
      <c r="J9" s="67">
        <f>SUM(I439)</f>
        <v>16062.13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5811.82</f>
        <v>5811.82</v>
      </c>
      <c r="G10" s="18"/>
      <c r="H10" s="18"/>
      <c r="I10" s="18"/>
      <c r="J10" s="67">
        <f>SUM(I440)</f>
        <v>1063066.19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H22+G22</f>
        <v>451617.72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30691.16</f>
        <v>30691.16</v>
      </c>
      <c r="H13" s="18">
        <f>309337.19</f>
        <v>309337.19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154577.81</f>
        <v>154577.81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347112.37</f>
        <v>347112.37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2937864.9500000007</v>
      </c>
      <c r="G19" s="41">
        <f>SUM(G9:G18)</f>
        <v>68549.98</v>
      </c>
      <c r="H19" s="41">
        <f>SUM(H9:H18)</f>
        <v>309337.19</v>
      </c>
      <c r="I19" s="41">
        <f>SUM(I9:I18)</f>
        <v>0</v>
      </c>
      <c r="J19" s="41">
        <f>SUM(J9:J18)</f>
        <v>1079128.3199999998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48044.61-30000+162587.43</f>
        <v>180632.03999999998</v>
      </c>
      <c r="G22" s="18">
        <f>155588.77</f>
        <v>155588.76999999999</v>
      </c>
      <c r="H22" s="18">
        <f>296028.95</f>
        <v>296028.95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3327.61+82.6+20824.29+114479.27+88299.71-82.6+14112.95</f>
        <v>241043.83000000005</v>
      </c>
      <c r="G24" s="18"/>
      <c r="H24" s="18">
        <f>13308.24</f>
        <v>13308.24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22848.25</f>
        <v>22848.25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444524.12</v>
      </c>
      <c r="G32" s="41">
        <f>SUM(G22:G31)</f>
        <v>155588.76999999999</v>
      </c>
      <c r="H32" s="41">
        <f>SUM(H22:H31)</f>
        <v>309337.19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347112.37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f>G19-G22</f>
        <v>-87038.79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1079128.32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1431708.71-400000</f>
        <v>1031708.71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F19-F32-F36-F44-F48-F49</f>
        <v>714519.75000000047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2493340.8300000005</v>
      </c>
      <c r="G51" s="41">
        <f>SUM(G35:G50)</f>
        <v>-87038.79</v>
      </c>
      <c r="H51" s="41">
        <f>SUM(H35:H50)</f>
        <v>0</v>
      </c>
      <c r="I51" s="41">
        <f>SUM(I35:I50)</f>
        <v>0</v>
      </c>
      <c r="J51" s="41">
        <f>SUM(J35:J50)</f>
        <v>1079128.32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2937864.9500000007</v>
      </c>
      <c r="G52" s="41">
        <f>G51+G32</f>
        <v>68549.98</v>
      </c>
      <c r="H52" s="41">
        <f>H51+H32</f>
        <v>309337.19</v>
      </c>
      <c r="I52" s="41">
        <f>I51+I32</f>
        <v>0</v>
      </c>
      <c r="J52" s="41">
        <f>J51+J32</f>
        <v>1079128.32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32527711-4768688</f>
        <v>27759023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27759023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34686.36+54459.44</f>
        <v>89145.8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70978.4</f>
        <v>70978.399999999994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f>18987.6</f>
        <v>18987.599999999999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f>16122.64</f>
        <v>16122.64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195234.44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5356.87</v>
      </c>
      <c r="G96" s="18">
        <f>43.15</f>
        <v>43.15</v>
      </c>
      <c r="H96" s="18"/>
      <c r="I96" s="18"/>
      <c r="J96" s="18">
        <v>79.28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493132.54+2927.99-149.21-51.97-110.01</f>
        <v>495749.33999999997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41900</f>
        <v>41900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f>18188.93+240+255+597.75</f>
        <v>19281.68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1945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733140.98</v>
      </c>
      <c r="G110" s="18">
        <v>1104.32</v>
      </c>
      <c r="H110" s="18"/>
      <c r="I110" s="18"/>
      <c r="J110" s="18">
        <v>1641.99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782342.85</v>
      </c>
      <c r="G111" s="41">
        <f>SUM(G96:G110)</f>
        <v>516178.49</v>
      </c>
      <c r="H111" s="41">
        <f>SUM(H96:H110)</f>
        <v>0</v>
      </c>
      <c r="I111" s="41">
        <f>SUM(I96:I110)</f>
        <v>0</v>
      </c>
      <c r="J111" s="41">
        <f>SUM(J96:J110)</f>
        <v>1721.27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28736600.290000003</v>
      </c>
      <c r="G112" s="41">
        <f>G60+G111</f>
        <v>516178.49</v>
      </c>
      <c r="H112" s="41">
        <f>H60+H79+H94+H111</f>
        <v>0</v>
      </c>
      <c r="I112" s="41">
        <f>I60+I111</f>
        <v>0</v>
      </c>
      <c r="J112" s="41">
        <f>J60+J111</f>
        <v>1721.27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7655821</f>
        <v>7655821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4768688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12424509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570121.64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455542.62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23535.14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1049199.3999999999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13473708.4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f>80560.55</f>
        <v>80560.55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f>448158.14</f>
        <v>448158.14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38606.1+443436.59+9869.32</f>
        <v>491912.01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-2723.35+136588.44+28000+44978.71+15250.74</f>
        <v>222094.53999999998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8996.56</f>
        <v>8996.56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34565.46+370048.59+63659.71</f>
        <v>468273.76000000007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392838.2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392838.2</v>
      </c>
      <c r="G162" s="41">
        <f>SUM(G150:G161)</f>
        <v>468273.76000000007</v>
      </c>
      <c r="H162" s="41">
        <f>SUM(H150:H161)</f>
        <v>1251721.8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392838.2</v>
      </c>
      <c r="G169" s="41">
        <f>G147+G162+SUM(G163:G168)</f>
        <v>468273.76000000007</v>
      </c>
      <c r="H169" s="41">
        <f>H147+H162+SUM(H163:H168)</f>
        <v>1251721.8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322609.72</f>
        <v>322609.71999999997</v>
      </c>
      <c r="H179" s="18"/>
      <c r="I179" s="18"/>
      <c r="J179" s="18">
        <v>300000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322609.71999999997</v>
      </c>
      <c r="H183" s="41">
        <f>SUM(H179:H182)</f>
        <v>0</v>
      </c>
      <c r="I183" s="41">
        <f>SUM(I179:I182)</f>
        <v>0</v>
      </c>
      <c r="J183" s="41">
        <f>SUM(J179:J182)</f>
        <v>300000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220000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220000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220000</v>
      </c>
      <c r="G192" s="41">
        <f>G183+SUM(G188:G191)</f>
        <v>322609.71999999997</v>
      </c>
      <c r="H192" s="41">
        <f>+H183+SUM(H188:H191)</f>
        <v>0</v>
      </c>
      <c r="I192" s="41">
        <f>I177+I183+SUM(I188:I191)</f>
        <v>0</v>
      </c>
      <c r="J192" s="41">
        <f>J183</f>
        <v>300000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42823146.890000008</v>
      </c>
      <c r="G193" s="47">
        <f>G112+G140+G169+G192</f>
        <v>1307061.97</v>
      </c>
      <c r="H193" s="47">
        <f>H112+H140+H169+H192</f>
        <v>1251721.8</v>
      </c>
      <c r="I193" s="47">
        <f>I112+I140+I169+I192</f>
        <v>0</v>
      </c>
      <c r="J193" s="47">
        <f>J112+J140+J192</f>
        <v>301721.27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2992464.6+100448.91+44649.24+1056.48+1056.47+3622.2+5020.11+225+18953.42+12054+16939.54+78648.21+99471.19-53179.77</f>
        <v>3321429.6000000006</v>
      </c>
      <c r="G197" s="18">
        <f>756534.46+27951.15+0.3*46562.5+0.3*46739.6+0.4*39290.75+0.4*1182107.16+0.3*197508.06+(F197*7.65%)+(F197*14.416%)+11734.65</f>
        <v>2104929.1275360002</v>
      </c>
      <c r="H197" s="18">
        <f>15861.87+42523.76+3248.71+244.53+0.4*15930+99431.19</f>
        <v>167682.06</v>
      </c>
      <c r="I197" s="18">
        <f>113884.49+3503.68+1461.63+322.85+13317.99</f>
        <v>132490.64000000001</v>
      </c>
      <c r="J197" s="18">
        <f>3219.82+1332+2904.81+85927.86+11925.38</f>
        <v>105309.87000000001</v>
      </c>
      <c r="K197" s="18">
        <f>250</f>
        <v>250</v>
      </c>
      <c r="L197" s="19">
        <f>SUM(F197:K197)</f>
        <v>5832091.2975359997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585663.7+569510.81+3622.2+13320+0.4*1492955.87+0.4*602831.22+0.4*158506.15</f>
        <v>2073834.0060000001</v>
      </c>
      <c r="G198" s="18">
        <f>434079.76+(F198*7.65%)+(F198*14.416%)+(0.3*104553.02)</f>
        <v>923057.87776396004</v>
      </c>
      <c r="H198" s="18">
        <f>0.3*107483.31+42008.4+42008.4+33327+11418+790+500+1850+1815+5005+18+58.5+135444.89</f>
        <v>306488.18300000002</v>
      </c>
      <c r="I198" s="18">
        <f>10017.71+839.7+100+600+200+200+0.3*37686.3</f>
        <v>23263.300000000003</v>
      </c>
      <c r="J198" s="18">
        <f>685.67+1716.51+0.3*27228.77</f>
        <v>10570.811</v>
      </c>
      <c r="K198" s="18">
        <f>0.3*8067.5</f>
        <v>2420.25</v>
      </c>
      <c r="L198" s="19">
        <f>SUM(F198:K198)</f>
        <v>3339634.4277639603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650</f>
        <v>650</v>
      </c>
      <c r="G200" s="18"/>
      <c r="H200" s="18">
        <f>4000</f>
        <v>4000</v>
      </c>
      <c r="I200" s="18">
        <f>1687.99</f>
        <v>1687.99</v>
      </c>
      <c r="J200" s="18"/>
      <c r="K200" s="18">
        <f>120</f>
        <v>120</v>
      </c>
      <c r="L200" s="19">
        <f>SUM(F200:K200)</f>
        <v>6457.99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167369+225705.56+42129.51</f>
        <v>435204.07</v>
      </c>
      <c r="G202" s="18">
        <f>44673.93+54747.37+6813.27+(F202*7.65%)+(F202*14.416%)</f>
        <v>202266.70008620003</v>
      </c>
      <c r="H202" s="18">
        <f>983.17+2724.36+0.4*37942.18+0.4*4718.41</f>
        <v>20771.766000000003</v>
      </c>
      <c r="I202" s="18">
        <f>1669.36+209.89+4273.52+100+1639.83</f>
        <v>7892.6</v>
      </c>
      <c r="J202" s="18">
        <f>474+0.4*27829.03</f>
        <v>11605.612000000001</v>
      </c>
      <c r="K202" s="18"/>
      <c r="L202" s="19">
        <f t="shared" ref="L202:L208" si="0">SUM(F202:K202)</f>
        <v>677740.74808619998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153365.92+21563.59+0.3*90849.97</f>
        <v>202184.50100000002</v>
      </c>
      <c r="G203" s="18">
        <f>33289.74+0.3*16299.99+(F203*7.65%)+(F203*14.416%)</f>
        <v>82793.768990659999</v>
      </c>
      <c r="H203" s="18">
        <f>1222+7150+113.89+0.4*85116.36+0.4*3564.61</f>
        <v>43958.277999999998</v>
      </c>
      <c r="I203" s="18">
        <f>1035.52+16920.14+673.95+266.34+0.3*37873.17+1233.92+0.4*48418.84</f>
        <v>50859.356999999996</v>
      </c>
      <c r="J203" s="18">
        <f>615.85</f>
        <v>615.85</v>
      </c>
      <c r="K203" s="18">
        <f>329</f>
        <v>329</v>
      </c>
      <c r="L203" s="19">
        <f t="shared" si="0"/>
        <v>380740.75499066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0.3*2500+0.3*358220.46+0.3*638626.99</f>
        <v>299804.23499999999</v>
      </c>
      <c r="G204" s="18">
        <f>0.3*129795.75+0.3*44673.93+(F204*7.65%)+(F204*10.77%)</f>
        <v>107564.84408699998</v>
      </c>
      <c r="H204" s="18">
        <f>0.4*40062.74+0.4*21293.04+0.4*78049.98+0.4*22751.66+0.4*102445.94+0.4*46222.95+0.4*9798.4</f>
        <v>128249.88400000001</v>
      </c>
      <c r="I204" s="18">
        <f>0.4*135778.86</f>
        <v>54311.543999999994</v>
      </c>
      <c r="J204" s="18"/>
      <c r="K204" s="18">
        <f>0.4*12909.72</f>
        <v>5163.8879999999999</v>
      </c>
      <c r="L204" s="19">
        <f t="shared" si="0"/>
        <v>595094.39508699998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291662.28+567346.74+9780</f>
        <v>868789.02</v>
      </c>
      <c r="G205" s="18">
        <f>185368.18+0.3*17676+(F205*7.65%)+(F205*14.416%)</f>
        <v>382377.96515319997</v>
      </c>
      <c r="H205" s="18">
        <f>39093.65+1817.24+842+3783.03+0.4*29938.04+0.3*47231.77</f>
        <v>71680.667000000001</v>
      </c>
      <c r="I205" s="18">
        <f>1658.13+278.32+0.4*29233.86</f>
        <v>13629.994000000002</v>
      </c>
      <c r="J205" s="18"/>
      <c r="K205" s="18">
        <f>7184.34+3903.45</f>
        <v>11087.79</v>
      </c>
      <c r="L205" s="19">
        <f t="shared" si="0"/>
        <v>1347565.4361532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900+900+5439.3+214.77+4134.24+8439.98+1418.4</f>
        <v>21446.690000000002</v>
      </c>
      <c r="G206" s="18">
        <f>F206*7.65%</f>
        <v>1640.6717850000002</v>
      </c>
      <c r="H206" s="18"/>
      <c r="I206" s="18"/>
      <c r="J206" s="18"/>
      <c r="K206" s="18"/>
      <c r="L206" s="19">
        <f t="shared" si="0"/>
        <v>23087.361785000001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47306.25+2037.99+0.3*26644.4</f>
        <v>57337.56</v>
      </c>
      <c r="G207" s="18">
        <f>12136.4+0.3*48411.17+(F207*7.65%)+(F207*10.77%)</f>
        <v>37221.329551999996</v>
      </c>
      <c r="H207" s="18">
        <f>441642.71+10272.13+13864+2749.8+37141.78+36100.95+43241.99+20973.77+131933.32+7917.93+163.99+0.4*7363+0.4*11291.17+0.4*195879+0.4*3859.08</f>
        <v>833359.2699999999</v>
      </c>
      <c r="I207" s="18">
        <f>46115.97+37.73+145665.37+163970.71</f>
        <v>355789.78</v>
      </c>
      <c r="J207" s="18">
        <f>0.4*21436.65</f>
        <v>8574.6600000000017</v>
      </c>
      <c r="K207" s="18"/>
      <c r="L207" s="19">
        <f t="shared" si="0"/>
        <v>1292282.5995519997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20995.86+0.4*1497819.93+0.4*408429.85</f>
        <v>783495.77199999988</v>
      </c>
      <c r="I208" s="18">
        <f>0.4*271695.76</f>
        <v>108678.304</v>
      </c>
      <c r="J208" s="18"/>
      <c r="K208" s="18"/>
      <c r="L208" s="19">
        <f t="shared" si="0"/>
        <v>892174.07599999988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7280679.6820000019</v>
      </c>
      <c r="G211" s="41">
        <f t="shared" si="1"/>
        <v>3841852.2849540203</v>
      </c>
      <c r="H211" s="41">
        <f t="shared" si="1"/>
        <v>2359685.88</v>
      </c>
      <c r="I211" s="41">
        <f t="shared" si="1"/>
        <v>748603.50900000008</v>
      </c>
      <c r="J211" s="41">
        <f t="shared" si="1"/>
        <v>136676.80300000001</v>
      </c>
      <c r="K211" s="41">
        <f t="shared" si="1"/>
        <v>19370.928</v>
      </c>
      <c r="L211" s="41">
        <f t="shared" si="1"/>
        <v>14386869.086954018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2567700.86+58427.9+94752.86+4889.96+4889.96+4889.96+31589.04+53584+99471.19-53179.77</f>
        <v>2867015.9599999995</v>
      </c>
      <c r="G215" s="18">
        <f>594805.72+0.3*46562.5+0.3*46739.6+0.3*39290.75+0.3*1182107.16+0.3*197508.06+(F215*7.65%)+(F215*14.416%)+11734.65</f>
        <v>1692838.5327335999</v>
      </c>
      <c r="H215" s="18">
        <f>142+6969.16+36222.87+960.19+0.3*15930+0.3*37942.18+3389.23+99431.19</f>
        <v>163276.29399999999</v>
      </c>
      <c r="I215" s="18">
        <f>84927.08+5721.76+2765.98+150+12803.53+1892.61</f>
        <v>108260.95999999999</v>
      </c>
      <c r="J215" s="18">
        <f>689.97+36574.26+943.36+93297.96+33608.55</f>
        <v>165114.10000000003</v>
      </c>
      <c r="K215" s="18">
        <f>1155.95</f>
        <v>1155.95</v>
      </c>
      <c r="L215" s="19">
        <f>SUM(F215:K215)</f>
        <v>4997661.7967335992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403339.35+386344.38+452.78+452.78+452.78+452.78+0.3*1492955.87+0.3*60281.22+0.3*158506.15</f>
        <v>1305017.8219999999</v>
      </c>
      <c r="G216" s="18">
        <f>381085.02+(F216*7.65%)+(F216*14.416%)+(0.3*104553.02)</f>
        <v>700416.15860252001</v>
      </c>
      <c r="H216" s="18">
        <f>0.3*107483.31+326984.13+16569.98+86424.5+1056.55</f>
        <v>463280.15299999999</v>
      </c>
      <c r="I216" s="18">
        <f>1033+900+54.6+350+175+300+0.3*37686.3</f>
        <v>14118.490000000002</v>
      </c>
      <c r="J216" s="18">
        <f>0.3*27228.77</f>
        <v>8168.6309999999994</v>
      </c>
      <c r="K216" s="18">
        <f>0.3*8067.5</f>
        <v>2420.25</v>
      </c>
      <c r="L216" s="19">
        <f>SUM(F216:K216)</f>
        <v>2493421.5046025203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f>119360+107629+9476.71</f>
        <v>236465.71</v>
      </c>
      <c r="G217" s="18">
        <f>(F217*7.65%)+(F217*14.416%)</f>
        <v>52178.523568599994</v>
      </c>
      <c r="H217" s="18">
        <f>915.4+491.34+1260.31+174.32</f>
        <v>2841.3700000000003</v>
      </c>
      <c r="I217" s="18">
        <f>4739.84+88.8+247.23+6238.13</f>
        <v>11314</v>
      </c>
      <c r="J217" s="18">
        <f>922.88</f>
        <v>922.88</v>
      </c>
      <c r="K217" s="18"/>
      <c r="L217" s="19">
        <f>SUM(F217:K217)</f>
        <v>303722.48356859997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103618.53</f>
        <v>103618.53</v>
      </c>
      <c r="G218" s="18">
        <f>(F218*7.65%)+(F218*14.416%)</f>
        <v>22864.464829800003</v>
      </c>
      <c r="H218" s="18">
        <f>16870</f>
        <v>16870</v>
      </c>
      <c r="I218" s="18">
        <f>13633.95</f>
        <v>13633.95</v>
      </c>
      <c r="J218" s="18">
        <f>3496.6</f>
        <v>3496.6</v>
      </c>
      <c r="K218" s="18">
        <f>5833.68+1146</f>
        <v>6979.68</v>
      </c>
      <c r="L218" s="19">
        <f>SUM(F218:K218)</f>
        <v>167463.22482980002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123884.67+127580.43</f>
        <v>251465.09999999998</v>
      </c>
      <c r="G220" s="18">
        <f>40758.6+28448.36+(F220*7.65%)+(F220*14.416%)</f>
        <v>124695.24896599998</v>
      </c>
      <c r="H220" s="18">
        <f>310.78+500+0.3*29938.04+0.3*4718.41</f>
        <v>11207.715</v>
      </c>
      <c r="I220" s="18">
        <f>563.55+265.45+2136.21+46.9+175.02</f>
        <v>3187.13</v>
      </c>
      <c r="J220" s="18">
        <f>0.3*21829.03</f>
        <v>6548.7089999999998</v>
      </c>
      <c r="K220" s="18"/>
      <c r="L220" s="19">
        <f t="shared" ref="L220:L226" si="2">SUM(F220:K220)</f>
        <v>397103.90296599997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115984+21563.59+0.3*90849.97</f>
        <v>164802.58100000001</v>
      </c>
      <c r="G221" s="18">
        <f>16299.99+0.3*16299.99+(F221*7.65%)+16549</f>
        <v>50346.3844465</v>
      </c>
      <c r="H221" s="18">
        <f>945.04+1380.03+0.3*85116.36+0.3*3564.61+0.3*9798.4</f>
        <v>31868.881000000001</v>
      </c>
      <c r="I221" s="18">
        <f>845+18145.86+1349.62+2273.9+0.3*37873.17+0.3*48418.84</f>
        <v>48501.982999999993</v>
      </c>
      <c r="J221" s="18">
        <f>2748.67+889.9+3038.09</f>
        <v>6676.66</v>
      </c>
      <c r="K221" s="18"/>
      <c r="L221" s="19">
        <f t="shared" si="2"/>
        <v>302196.48944649997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0.3*2500+0.4*358220.46+0.4*638626.99</f>
        <v>399488.98</v>
      </c>
      <c r="G222" s="18">
        <f>0.3*129795.75+0.3*44673.93+0.3*17676+(F222*7.65%)+(F222*10.77%)</f>
        <v>131229.57411599997</v>
      </c>
      <c r="H222" s="18">
        <f>0.3*40062.74+0.3*21293.04+0.3*78049.98+0.3*22751.66+0.3*102445.94+0.3*46622.95+0.3*47231.77</f>
        <v>107537.424</v>
      </c>
      <c r="I222" s="18">
        <f>0.3*29233.86+0.3*135778.86</f>
        <v>49503.815999999992</v>
      </c>
      <c r="J222" s="18">
        <f>1117.14</f>
        <v>1117.1400000000001</v>
      </c>
      <c r="K222" s="18">
        <f>0.3*22603.87+0.3*12909.72</f>
        <v>10654.076999999999</v>
      </c>
      <c r="L222" s="19">
        <f t="shared" si="2"/>
        <v>699531.01111600001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141900.08+258667.9+15466.19</f>
        <v>416034.17</v>
      </c>
      <c r="G223" s="18">
        <f>87766.71+(F223*7.65%)+(F223*14.416%)</f>
        <v>179568.80995220001</v>
      </c>
      <c r="H223" s="18">
        <f>12495.72+1632.36+2504.25+2096.85</f>
        <v>18729.18</v>
      </c>
      <c r="I223" s="18">
        <f>2321.75+1422.28+69</f>
        <v>3813.0299999999997</v>
      </c>
      <c r="J223" s="18">
        <f>639.96</f>
        <v>639.96</v>
      </c>
      <c r="K223" s="18">
        <f>8623+3346.17</f>
        <v>11969.17</v>
      </c>
      <c r="L223" s="19">
        <f t="shared" si="2"/>
        <v>630754.31995220005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5439.3+10750.17+25356.42+25903.01+5439.5+3414.96+8439.98+5765.91+5439.3+5529.6+8439.98+6382.8+8439.98+7387.2+5439.3+482.51+1123.82+314.17+8439.98+1096.13</f>
        <v>149024.02000000005</v>
      </c>
      <c r="G224" s="18">
        <f>(F224*7.65%)+(F224*14.416%)</f>
        <v>32883.640253200014</v>
      </c>
      <c r="H224" s="18"/>
      <c r="I224" s="18"/>
      <c r="J224" s="18"/>
      <c r="K224" s="18"/>
      <c r="L224" s="19">
        <f t="shared" si="2"/>
        <v>181907.66025320007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165516.7+5763.62+0.3*26644.4</f>
        <v>179273.64</v>
      </c>
      <c r="G225" s="18">
        <f>44674.14+0.3*48411.17+(F225*7.65%)+(F225*10.77%)</f>
        <v>92219.695487999998</v>
      </c>
      <c r="H225" s="18">
        <f>183977.73+14541.2+9230.8+3990+57520.9+30292.2+13981.05+19945.83+76388.17+14055.26+1149.57+1999.82+0.3*7363+0.3*11291.17+0.3*195879+0.3*3859.08</f>
        <v>492590.20500000007</v>
      </c>
      <c r="I225" s="18">
        <f>37118.66+26.16+119244.53+3090.47+187219.66</f>
        <v>346699.48</v>
      </c>
      <c r="J225" s="18">
        <f>0.3*21436.65</f>
        <v>6430.9949999999999</v>
      </c>
      <c r="K225" s="18"/>
      <c r="L225" s="19">
        <f t="shared" si="2"/>
        <v>1117214.0154880001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20927.43+35175.9+0.3*1497819.93+0.3*408429.85</f>
        <v>627978.26399999997</v>
      </c>
      <c r="I226" s="18">
        <f>0.3*271695.76</f>
        <v>81508.728000000003</v>
      </c>
      <c r="J226" s="18"/>
      <c r="K226" s="18"/>
      <c r="L226" s="19">
        <f t="shared" si="2"/>
        <v>709486.99199999997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6072206.5130000003</v>
      </c>
      <c r="G229" s="41">
        <f>SUM(G215:G228)</f>
        <v>3079241.03295642</v>
      </c>
      <c r="H229" s="41">
        <f>SUM(H215:H228)</f>
        <v>1936179.486</v>
      </c>
      <c r="I229" s="41">
        <f>SUM(I215:I228)</f>
        <v>680541.56700000004</v>
      </c>
      <c r="J229" s="41">
        <f>SUM(J215:J228)</f>
        <v>199115.67500000005</v>
      </c>
      <c r="K229" s="41">
        <f t="shared" si="3"/>
        <v>33179.127</v>
      </c>
      <c r="L229" s="41">
        <f t="shared" si="3"/>
        <v>12000463.40095642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2378570.84+48338.65+36000+54659.94+900+22851.57+12738.08+22035.13+99471.19-53179.77</f>
        <v>2622385.6299999994</v>
      </c>
      <c r="G233" s="18">
        <f>518906.84+0.4*46562.5+0.4*46739.6+0.3*39290.75+0.3*1182107.16+0.3*197508.06+(F233*7.65%)+(F233*14.416%)+11734.65</f>
        <v>1572289.7341157999</v>
      </c>
      <c r="H233" s="18">
        <f>33180.22+2782+452.54+0.3*15930+26694.22+99431.19</f>
        <v>167319.17000000001</v>
      </c>
      <c r="I233" s="18">
        <f>68406.99+93+24334.75+46+554.77+15029.47</f>
        <v>108464.98000000001</v>
      </c>
      <c r="J233" s="18">
        <f>4030.9+152646.76+18959.56+39348.54+21110.93</f>
        <v>236096.69</v>
      </c>
      <c r="K233" s="18">
        <f>2705.14</f>
        <v>2705.14</v>
      </c>
      <c r="L233" s="19">
        <f>SUM(F233:K233)</f>
        <v>4709261.3441157993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353499.3+172504.13+79000+46095.69+260536.61+354526.46+9476.71+1800+183.83+905.55+905.55+0.3*1492955.87+0.3*602831.22+0.3*158506.15</f>
        <v>1955721.8019999999</v>
      </c>
      <c r="G234" s="18">
        <f>399293.53+(F234*7.65%)+(F234*14.416%)+0.4*104553.02</f>
        <v>872664.31082931987</v>
      </c>
      <c r="H234" s="18">
        <f>95482.66+5395.76+138801.87+38698.8+48885.52+42656.4+257828.97+102095.43+44273.99+29000+126303+5733.76+29563.62+1100+5951.36</f>
        <v>971771.1399999999</v>
      </c>
      <c r="I234" s="18">
        <f>1602.9+45.14+334.5+2872.27+500+15.58+1262.25+0.4*37686.3</f>
        <v>21707.160000000003</v>
      </c>
      <c r="J234" s="18">
        <f>0.4*27228.77</f>
        <v>10891.508000000002</v>
      </c>
      <c r="K234" s="18">
        <f>0.4*8067.5</f>
        <v>3227</v>
      </c>
      <c r="L234" s="19">
        <f>SUM(F234:K234)</f>
        <v>3835982.9208293199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1554.43+54427+108854+50538+50538+64250+59887+47875+991.65+225+225+225+225</f>
        <v>439815.08</v>
      </c>
      <c r="G235" s="18">
        <f>116685.2+(F235*7.65%)+63404</f>
        <v>213735.05361999999</v>
      </c>
      <c r="H235" s="18">
        <f>1904.43+422.04+68.36+391.57</f>
        <v>2786.4000000000005</v>
      </c>
      <c r="I235" s="18">
        <f>1956.53+449.25+2737.27+3982.82+3458.35+240.49+2430+2496.24+3972.88</f>
        <v>21723.829999999998</v>
      </c>
      <c r="J235" s="18">
        <f>3586+499.1</f>
        <v>4085.1</v>
      </c>
      <c r="K235" s="18"/>
      <c r="L235" s="19">
        <f>SUM(F235:K235)</f>
        <v>682145.46361999994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31085.11+79900+222418.5</f>
        <v>333403.61</v>
      </c>
      <c r="G236" s="18">
        <f>30330.99+(F236*7.65%)+(F236*14.416%)</f>
        <v>103899.8305826</v>
      </c>
      <c r="H236" s="18">
        <f>102228.26+9243.95+8596.97</f>
        <v>120069.18</v>
      </c>
      <c r="I236" s="18">
        <f>19587.13</f>
        <v>19587.13</v>
      </c>
      <c r="J236" s="18">
        <f>58113.97+4346.45</f>
        <v>62460.42</v>
      </c>
      <c r="K236" s="18">
        <f>38239.98+6558.85</f>
        <v>44798.83</v>
      </c>
      <c r="L236" s="19">
        <f>SUM(F236:K236)</f>
        <v>684219.0005825999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273831.31+70267.57+85200+10707.49+51362.56+28552.73+4889.96+9780</f>
        <v>534591.62</v>
      </c>
      <c r="G238" s="18">
        <f>79531.92+16299.99+(F238*7.65%)+(F238*14.416%)</f>
        <v>213794.89686919999</v>
      </c>
      <c r="H238" s="18">
        <f>2575+441.51+11778.98+0.3*37942.18+0.3*29938.04+0.3*22751.88+0.3*4718.41</f>
        <v>43400.642999999996</v>
      </c>
      <c r="I238" s="18">
        <f>1789.3+147.58+2350+2523.11+115</f>
        <v>6924.99</v>
      </c>
      <c r="J238" s="18">
        <f>421.36+1659+2370.5+59.99+0.3*21829.03</f>
        <v>11059.559000000001</v>
      </c>
      <c r="K238" s="18"/>
      <c r="L238" s="19">
        <f t="shared" ref="L238:L244" si="4">SUM(F238:K238)</f>
        <v>809771.70886919997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54190.57+14813.56+21563.59+0.4*90849.97</f>
        <v>126907.70800000001</v>
      </c>
      <c r="G239" s="18">
        <f>0.4*16299.99+(F239*7.65%)+12667.88</f>
        <v>28896.315662000001</v>
      </c>
      <c r="H239" s="18">
        <f>1799.23+0.3*85116.36+0.3*21293.04+0.3*3564.61+1532.97</f>
        <v>36324.403000000006</v>
      </c>
      <c r="I239" s="18">
        <f>1902.02+13062.29+14075.98+0.4*37873.14+868+0.3*48418.84</f>
        <v>59583.198000000004</v>
      </c>
      <c r="J239" s="18">
        <f>716.7</f>
        <v>716.7</v>
      </c>
      <c r="K239" s="18"/>
      <c r="L239" s="19">
        <f t="shared" si="4"/>
        <v>252428.32466200003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0.4*2500+0.3*358220.46+0.3*638626.99</f>
        <v>300054.23499999999</v>
      </c>
      <c r="G240" s="18">
        <f>0.4*129795.75+0.4*44673.93+0.4*17676+(F240*7.65%)+(F240*10.77%)</f>
        <v>132128.26208699998</v>
      </c>
      <c r="H240" s="18">
        <f>0.3*40062.74+0.3*78049.98+0.3*102445.94+0.3*46622.95+0.3*9798.4+0.3*3859.08+0.4*47231.77</f>
        <v>103144.435</v>
      </c>
      <c r="I240" s="18">
        <f>0.3*29233.86+0.3*135778.86</f>
        <v>49503.815999999992</v>
      </c>
      <c r="J240" s="18"/>
      <c r="K240" s="18">
        <f>0.3*22603.87+0.3*12909.72</f>
        <v>10654.076999999999</v>
      </c>
      <c r="L240" s="19">
        <f t="shared" si="4"/>
        <v>595484.82508700003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55876.48+80019.04+319347.53+1611+6000+25068.99+50000+45454</f>
        <v>583377.04</v>
      </c>
      <c r="G241" s="18">
        <f>52866.93+18168.64+(F241*7.65%)+(F241*14.416%)</f>
        <v>199763.54764640002</v>
      </c>
      <c r="H241" s="18">
        <f>3328.87+15304.14+6197.86+1180.65+19132.09+689.57+19980</f>
        <v>65813.179999999993</v>
      </c>
      <c r="I241" s="18">
        <f>401.24+47.95+192.8</f>
        <v>641.99</v>
      </c>
      <c r="J241" s="18">
        <f>7915.49</f>
        <v>7915.49</v>
      </c>
      <c r="K241" s="18">
        <f>45704.34-19980+11245.91+15751.68</f>
        <v>52721.93</v>
      </c>
      <c r="L241" s="19">
        <f t="shared" si="4"/>
        <v>910233.17764640006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9195.97+8439.98+3058.56+3622.2+4996.64+5439.3+1993.95+460.53+8439.98+1111.5+2548.92+260.39+181.13+301.85</f>
        <v>50050.899999999994</v>
      </c>
      <c r="G242" s="18">
        <f>(F242*7.65%)</f>
        <v>3828.8938499999995</v>
      </c>
      <c r="H242" s="18"/>
      <c r="I242" s="18"/>
      <c r="J242" s="18"/>
      <c r="K242" s="18"/>
      <c r="L242" s="19">
        <f t="shared" si="4"/>
        <v>53879.793849999995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134690.68+9749.49+0.4*26644.4+4632.49</f>
        <v>159730.41999999998</v>
      </c>
      <c r="G243" s="18">
        <f>49786.24+5646.64+0.4*48411.17+(F243*7.65%)+(F243*10.77%)</f>
        <v>104219.69136399998</v>
      </c>
      <c r="H243" s="18">
        <f>131459.17+13325.5+12979+7683.27+75374.63+23964.76+60656.86+63908.58+62647.5+80243.88+10829.21+1001.2+0.3*7363+0.3*11291.17+0.3*19879</f>
        <v>555633.51099999994</v>
      </c>
      <c r="I243" s="18">
        <f>30382.36+98.3+164746.93+8975.34+129070.71+17.58+563.26-1112.23</f>
        <v>332742.25000000006</v>
      </c>
      <c r="J243" s="18">
        <f>0.3*21436.65+1999+465.56</f>
        <v>8895.5549999999985</v>
      </c>
      <c r="K243" s="18"/>
      <c r="L243" s="19">
        <f t="shared" si="4"/>
        <v>1161221.4273639999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75025.42+4470.48+0.3*1497819.83+0.3*408429.85</f>
        <v>651370.804</v>
      </c>
      <c r="I244" s="18">
        <f>0.3*271695.76</f>
        <v>81508.728000000003</v>
      </c>
      <c r="J244" s="18"/>
      <c r="K244" s="18"/>
      <c r="L244" s="19">
        <f t="shared" si="4"/>
        <v>732879.53200000001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7899.95</f>
        <v>7899.95</v>
      </c>
      <c r="I245" s="18"/>
      <c r="J245" s="18"/>
      <c r="K245" s="18"/>
      <c r="L245" s="19">
        <f>SUM(F245:K245)</f>
        <v>7899.95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7106038.0449999999</v>
      </c>
      <c r="G247" s="41">
        <f t="shared" si="5"/>
        <v>3445220.5366263199</v>
      </c>
      <c r="H247" s="41">
        <f t="shared" si="5"/>
        <v>2725532.8159999996</v>
      </c>
      <c r="I247" s="41">
        <f t="shared" si="5"/>
        <v>702388.07200000004</v>
      </c>
      <c r="J247" s="41">
        <f t="shared" si="5"/>
        <v>342121.022</v>
      </c>
      <c r="K247" s="41">
        <f t="shared" si="5"/>
        <v>114106.977</v>
      </c>
      <c r="L247" s="41">
        <f t="shared" si="5"/>
        <v>14435407.468626317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20458924.240000002</v>
      </c>
      <c r="G257" s="41">
        <f t="shared" si="8"/>
        <v>10366313.854536761</v>
      </c>
      <c r="H257" s="41">
        <f t="shared" si="8"/>
        <v>7021398.182</v>
      </c>
      <c r="I257" s="41">
        <f t="shared" si="8"/>
        <v>2131533.148</v>
      </c>
      <c r="J257" s="41">
        <f t="shared" si="8"/>
        <v>677913.5</v>
      </c>
      <c r="K257" s="41">
        <f t="shared" si="8"/>
        <v>166657.03200000001</v>
      </c>
      <c r="L257" s="41">
        <f t="shared" si="8"/>
        <v>40822739.956536755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360000</v>
      </c>
      <c r="L260" s="19">
        <f>SUM(F260:K260)</f>
        <v>360000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117315</v>
      </c>
      <c r="L261" s="19">
        <f>SUM(F261:K261)</f>
        <v>117315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G179</f>
        <v>322609.71999999997</v>
      </c>
      <c r="L263" s="19">
        <f>SUM(F263:K263)</f>
        <v>322609.71999999997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J179</f>
        <v>300000</v>
      </c>
      <c r="L266" s="19">
        <f t="shared" si="9"/>
        <v>300000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1099924.72</v>
      </c>
      <c r="L270" s="41">
        <f t="shared" si="9"/>
        <v>1099924.72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20458924.240000002</v>
      </c>
      <c r="G271" s="42">
        <f t="shared" si="11"/>
        <v>10366313.854536761</v>
      </c>
      <c r="H271" s="42">
        <f t="shared" si="11"/>
        <v>7021398.182</v>
      </c>
      <c r="I271" s="42">
        <f t="shared" si="11"/>
        <v>2131533.148</v>
      </c>
      <c r="J271" s="42">
        <f t="shared" si="11"/>
        <v>677913.5</v>
      </c>
      <c r="K271" s="42">
        <f t="shared" si="11"/>
        <v>1266581.7519999999</v>
      </c>
      <c r="L271" s="42">
        <f t="shared" si="11"/>
        <v>41922664.676536754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19404.09+106128.4+27213.38+27213.62+107834-9194.31+1583.92</f>
        <v>280183.09999999998</v>
      </c>
      <c r="G276" s="18">
        <f>1426.68+2747.62+34006.66+1058.27+192+226.67+7226.79+15030.74+11409.7+273.65+57.6+34.29+1957.9+7823.92+211.92+38.4+22.86+1957.94+3853.46+14488.8+1059.6+192+226.45+8249.05+15269.28+117.48+221.42</f>
        <v>129381.15</v>
      </c>
      <c r="H276" s="18"/>
      <c r="I276" s="18">
        <f>1270.29+47.14+82.6+49.16+100+95.07+150+656.19</f>
        <v>2450.4499999999998</v>
      </c>
      <c r="J276" s="18"/>
      <c r="K276" s="18">
        <f>2721.94+28496.83+100+100+169.43</f>
        <v>31588.2</v>
      </c>
      <c r="L276" s="19">
        <f>SUM(F276:K276)</f>
        <v>443602.9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12373.34+158310.47+5989.9</f>
        <v>176673.71</v>
      </c>
      <c r="G277" s="18">
        <f>38533.47+1488.22+384+345.3+13471.82+22553.46</f>
        <v>76776.27</v>
      </c>
      <c r="H277" s="18">
        <f>0.3*17333+24000+5940</f>
        <v>35139.9</v>
      </c>
      <c r="I277" s="18"/>
      <c r="J277" s="18"/>
      <c r="K277" s="18"/>
      <c r="L277" s="19">
        <f>SUM(F277:K277)</f>
        <v>288589.88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2310</f>
        <v>2310</v>
      </c>
      <c r="G281" s="18">
        <f>176.72</f>
        <v>176.72</v>
      </c>
      <c r="H281" s="18"/>
      <c r="I281" s="18">
        <f>6595.22+1470.44+1745.87</f>
        <v>9811.5299999999988</v>
      </c>
      <c r="J281" s="18">
        <f>4074</f>
        <v>4074</v>
      </c>
      <c r="K281" s="18"/>
      <c r="L281" s="19">
        <f t="shared" ref="L281:L287" si="12">SUM(F281:K281)</f>
        <v>16372.249999999998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0.3*19688.32+0.3*20019.22</f>
        <v>11912.262000000001</v>
      </c>
      <c r="G282" s="18">
        <f>0.3*4287.14+0.3*4366.2</f>
        <v>2596.002</v>
      </c>
      <c r="H282" s="18">
        <f>962.34+20560+4855.5+8804.47+2458+0.3*44976.71</f>
        <v>51133.322999999997</v>
      </c>
      <c r="I282" s="18"/>
      <c r="J282" s="18"/>
      <c r="K282" s="18"/>
      <c r="L282" s="19">
        <f t="shared" si="12"/>
        <v>65641.587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f>3653.76+5270.2</f>
        <v>8923.9599999999991</v>
      </c>
      <c r="G284" s="18">
        <f>269.13+517.37+347.01+746.25</f>
        <v>1879.76</v>
      </c>
      <c r="H284" s="18">
        <f>0.3*12000+0.34*27000</f>
        <v>12780</v>
      </c>
      <c r="I284" s="18">
        <v>190</v>
      </c>
      <c r="J284" s="18"/>
      <c r="K284" s="18"/>
      <c r="L284" s="19">
        <f t="shared" si="12"/>
        <v>23773.72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f>7123.05</f>
        <v>7123.05</v>
      </c>
      <c r="I286" s="18"/>
      <c r="J286" s="18"/>
      <c r="K286" s="18"/>
      <c r="L286" s="19">
        <f t="shared" si="12"/>
        <v>7123.05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480003.03199999995</v>
      </c>
      <c r="G290" s="42">
        <f t="shared" si="13"/>
        <v>210809.902</v>
      </c>
      <c r="H290" s="42">
        <f t="shared" si="13"/>
        <v>106176.273</v>
      </c>
      <c r="I290" s="42">
        <f t="shared" si="13"/>
        <v>12451.98</v>
      </c>
      <c r="J290" s="42">
        <f t="shared" si="13"/>
        <v>4074</v>
      </c>
      <c r="K290" s="42">
        <f t="shared" si="13"/>
        <v>31588.2</v>
      </c>
      <c r="L290" s="41">
        <f t="shared" si="13"/>
        <v>845103.3870000001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27787.22+22673.5+38535</f>
        <v>88995.72</v>
      </c>
      <c r="G296" s="18">
        <f>14209.07+519.47+96+58.8+2125.67+2992.64+29417.93+441.42+144+126.4+4438.43+8667.09</f>
        <v>63236.92</v>
      </c>
      <c r="H296" s="18">
        <f>11200+0.3*17333</f>
        <v>16399.900000000001</v>
      </c>
      <c r="I296" s="18"/>
      <c r="J296" s="18"/>
      <c r="K296" s="18"/>
      <c r="L296" s="19">
        <f>SUM(F296:K296)</f>
        <v>168632.54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2241.46+0.3*19688.32+0.3*20019.22</f>
        <v>14153.722000000002</v>
      </c>
      <c r="G301" s="18">
        <f>171.48+317.39+0.3*4287.14+0.3*4366.2</f>
        <v>3084.8720000000003</v>
      </c>
      <c r="H301" s="18">
        <f>0.3*12000+2900+688.91+2250+0.3*27000+0.33*44976.71-122.58</f>
        <v>32258.6443</v>
      </c>
      <c r="I301" s="18">
        <f>24.64</f>
        <v>24.64</v>
      </c>
      <c r="J301" s="18"/>
      <c r="K301" s="18"/>
      <c r="L301" s="19">
        <f t="shared" si="14"/>
        <v>49521.878299999997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103149.44200000001</v>
      </c>
      <c r="G309" s="42">
        <f t="shared" si="15"/>
        <v>66321.792000000001</v>
      </c>
      <c r="H309" s="42">
        <f t="shared" si="15"/>
        <v>48658.544300000001</v>
      </c>
      <c r="I309" s="42">
        <f t="shared" si="15"/>
        <v>24.64</v>
      </c>
      <c r="J309" s="42">
        <f t="shared" si="15"/>
        <v>0</v>
      </c>
      <c r="K309" s="42">
        <f t="shared" si="15"/>
        <v>0</v>
      </c>
      <c r="L309" s="41">
        <f t="shared" si="15"/>
        <v>218154.41830000002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6300</f>
        <v>6300</v>
      </c>
      <c r="G314" s="18">
        <f>481.95+892.08</f>
        <v>1374.03</v>
      </c>
      <c r="H314" s="18"/>
      <c r="I314" s="18">
        <f>60.39+1000</f>
        <v>1060.3900000000001</v>
      </c>
      <c r="J314" s="18"/>
      <c r="K314" s="18"/>
      <c r="L314" s="19">
        <f>SUM(F314:K314)</f>
        <v>8734.42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763.18+0.34*17333+2895</f>
        <v>9551.4000000000015</v>
      </c>
      <c r="I315" s="18"/>
      <c r="J315" s="18"/>
      <c r="K315" s="18"/>
      <c r="L315" s="19">
        <f>SUM(F315:K315)</f>
        <v>9551.4000000000015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949+493.18</f>
        <v>1442.18</v>
      </c>
      <c r="I316" s="18">
        <f>2500</f>
        <v>2500</v>
      </c>
      <c r="J316" s="18">
        <f>7110.89+8849.4+57361.38</f>
        <v>73321.67</v>
      </c>
      <c r="K316" s="18">
        <f>100</f>
        <v>100</v>
      </c>
      <c r="L316" s="19">
        <f>SUM(F316:K316)</f>
        <v>77363.850000000006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6700</f>
        <v>6700</v>
      </c>
      <c r="G319" s="18"/>
      <c r="H319" s="18">
        <f>3457.47+825</f>
        <v>4282.4699999999993</v>
      </c>
      <c r="I319" s="18"/>
      <c r="J319" s="18"/>
      <c r="K319" s="18"/>
      <c r="L319" s="19">
        <f t="shared" ref="L319:L325" si="16">SUM(F319:K319)</f>
        <v>10982.47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0.3*19688.32+0.34*20019.22+1000</f>
        <v>13713.0308</v>
      </c>
      <c r="G320" s="18">
        <f>0.3*4287.14+0.34*4366.2+76.5+141.6</f>
        <v>2988.75</v>
      </c>
      <c r="H320" s="18">
        <f>0.34*12000+652.15+108.39+1880+3469.48+6058.16+3602.6+0.3*27000+0.34*44976.71+3750+400</f>
        <v>47392.861400000002</v>
      </c>
      <c r="I320" s="18">
        <f>200</f>
        <v>200</v>
      </c>
      <c r="J320" s="18"/>
      <c r="K320" s="18"/>
      <c r="L320" s="19">
        <f t="shared" si="16"/>
        <v>64294.642200000002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f>240.85</f>
        <v>240.85</v>
      </c>
      <c r="I321" s="18"/>
      <c r="J321" s="18"/>
      <c r="K321" s="18"/>
      <c r="L321" s="19">
        <f t="shared" si="16"/>
        <v>240.85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f>600</f>
        <v>600</v>
      </c>
      <c r="I322" s="18"/>
      <c r="J322" s="18"/>
      <c r="K322" s="18">
        <f>2596.7</f>
        <v>2596.6999999999998</v>
      </c>
      <c r="L322" s="19">
        <f t="shared" si="16"/>
        <v>3196.7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26713.0308</v>
      </c>
      <c r="G328" s="42">
        <f t="shared" si="17"/>
        <v>4362.78</v>
      </c>
      <c r="H328" s="42">
        <f t="shared" si="17"/>
        <v>63509.761400000003</v>
      </c>
      <c r="I328" s="42">
        <f t="shared" si="17"/>
        <v>3760.3900000000003</v>
      </c>
      <c r="J328" s="42">
        <f t="shared" si="17"/>
        <v>73321.67</v>
      </c>
      <c r="K328" s="42">
        <f t="shared" si="17"/>
        <v>2696.7</v>
      </c>
      <c r="L328" s="41">
        <f t="shared" si="17"/>
        <v>174364.33220000003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609865.50479999988</v>
      </c>
      <c r="G338" s="41">
        <f t="shared" si="20"/>
        <v>281494.47400000005</v>
      </c>
      <c r="H338" s="41">
        <f t="shared" si="20"/>
        <v>218344.57870000001</v>
      </c>
      <c r="I338" s="41">
        <f t="shared" si="20"/>
        <v>16237.009999999998</v>
      </c>
      <c r="J338" s="41">
        <f t="shared" si="20"/>
        <v>77395.67</v>
      </c>
      <c r="K338" s="41">
        <f t="shared" si="20"/>
        <v>34284.9</v>
      </c>
      <c r="L338" s="41">
        <f t="shared" si="20"/>
        <v>1237622.1375000002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13027.52+262.14+810</f>
        <v>14099.66</v>
      </c>
      <c r="L344" s="19">
        <f t="shared" ref="L344:L350" si="21">SUM(F344:K344)</f>
        <v>14099.66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14099.66</v>
      </c>
      <c r="L351" s="41">
        <f>SUM(L341:L350)</f>
        <v>14099.66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609865.50479999988</v>
      </c>
      <c r="G352" s="41">
        <f>G338</f>
        <v>281494.47400000005</v>
      </c>
      <c r="H352" s="41">
        <f>H338</f>
        <v>218344.57870000001</v>
      </c>
      <c r="I352" s="41">
        <f>I338</f>
        <v>16237.009999999998</v>
      </c>
      <c r="J352" s="41">
        <f>J338</f>
        <v>77395.67</v>
      </c>
      <c r="K352" s="47">
        <f>K338+K351</f>
        <v>48384.56</v>
      </c>
      <c r="L352" s="41">
        <f>L338+L351</f>
        <v>1251721.7975000001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37893.34+29226.6+29381.3+8752.58</f>
        <v>105253.82</v>
      </c>
      <c r="G358" s="18">
        <f>(F358*7.65%)+2752.98+2040.16+3805.55+441.42+5433.33+3066.4+6985.71+12419.04+336.32+189.18+336.32</f>
        <v>45858.327230000003</v>
      </c>
      <c r="H358" s="18">
        <f>1580.33+2025.35+973.48+891.82+2351.76+536.27</f>
        <v>8359.01</v>
      </c>
      <c r="I358" s="18">
        <f>14.07+6905.83+7628.17+69533.05+11369.82+832.5+1058.41+5592.09</f>
        <v>102933.94</v>
      </c>
      <c r="J358" s="18">
        <f>3156-272.67</f>
        <v>2883.33</v>
      </c>
      <c r="K358" s="18">
        <f>580.11</f>
        <v>580.11</v>
      </c>
      <c r="L358" s="13">
        <f>SUM(F358:K358)</f>
        <v>265868.53723000002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55690.07+40000.49+75150.22+29381.3+8752.58</f>
        <v>208974.65999999997</v>
      </c>
      <c r="G359" s="18">
        <f>(F359*7.65%)+2984.04+1562.14+3750.72+3805.55+5433.33+3066.4+9199.2+9199.2+9199.2+12419.04+336.32+336.32+336.32+336.32+336.32+336.32+336.32</f>
        <v>78959.621490000049</v>
      </c>
      <c r="H359" s="18">
        <f>75+1204.53+25.74+1156.57+536.27</f>
        <v>2998.11</v>
      </c>
      <c r="I359" s="18">
        <f>8164.28+103450.86+5235.03+636.85+911.33+990.05+9509.56+83071.4+6264.92+947.45+1366.93+866.15+6214.03</f>
        <v>227628.84</v>
      </c>
      <c r="J359" s="18">
        <f>1156-272.67-354.3</f>
        <v>529.03</v>
      </c>
      <c r="K359" s="18">
        <f>580.11+13.95-386.86</f>
        <v>207.20000000000005</v>
      </c>
      <c r="L359" s="19">
        <f>SUM(F359:K359)</f>
        <v>519297.46149000007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145839.28+29381.3+8752.58</f>
        <v>183973.15999999997</v>
      </c>
      <c r="G360" s="18">
        <f>(F360*7.65%)+1743.8+4336.23+3210.85+2204.52+2819.53+2697.65+3805.55+5433.33+3066.4+12419.04+12419.04+9199.2+12419.04+12419.04+9619.52+4599.68+336.32+336.32+336.32+336.32+336.32+336.32</f>
        <v>118504.28674000007</v>
      </c>
      <c r="H360" s="18">
        <f>1580.33+4021.12+536.27</f>
        <v>6137.7199999999993</v>
      </c>
      <c r="I360" s="18">
        <f>9321.03+14832.95+151035.88+13327.4+1455.2+1787.12+581.97+6214.02</f>
        <v>198555.57</v>
      </c>
      <c r="J360" s="18">
        <f>3664.2-409.15</f>
        <v>3255.0499999999997</v>
      </c>
      <c r="K360" s="18">
        <f>580.11+13.96-386.66</f>
        <v>207.41000000000003</v>
      </c>
      <c r="L360" s="19">
        <f>SUM(F360:K360)</f>
        <v>510633.19673999998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498201.63999999996</v>
      </c>
      <c r="G362" s="47">
        <f t="shared" si="22"/>
        <v>243322.23546000011</v>
      </c>
      <c r="H362" s="47">
        <f t="shared" si="22"/>
        <v>17494.84</v>
      </c>
      <c r="I362" s="47">
        <f t="shared" si="22"/>
        <v>529118.35000000009</v>
      </c>
      <c r="J362" s="47">
        <f t="shared" si="22"/>
        <v>6667.41</v>
      </c>
      <c r="K362" s="47">
        <f t="shared" si="22"/>
        <v>994.72</v>
      </c>
      <c r="L362" s="47">
        <f t="shared" si="22"/>
        <v>1295799.1954600001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14.07+6905.83+69533.05+11369.82+7557.69</f>
        <v>95380.459999999992</v>
      </c>
      <c r="G367" s="18">
        <f>103450.86+5235.03+636.85+83071.4+6264.92+947.45+7557.69</f>
        <v>207164.20000000004</v>
      </c>
      <c r="H367" s="18">
        <f>151035.88+13327.4+1455.2+7557.69</f>
        <v>173376.17</v>
      </c>
      <c r="I367" s="56">
        <f>SUM(F367:H367)</f>
        <v>475920.83000000007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I358-F367</f>
        <v>7553.4800000000105</v>
      </c>
      <c r="G368" s="63">
        <f>I359-G367</f>
        <v>20464.639999999956</v>
      </c>
      <c r="H368" s="63">
        <f>I360-H367</f>
        <v>25179.399999999994</v>
      </c>
      <c r="I368" s="56">
        <f>SUM(F368:H368)</f>
        <v>53197.51999999996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102933.94</v>
      </c>
      <c r="G369" s="47">
        <f>SUM(G367:G368)</f>
        <v>227628.84</v>
      </c>
      <c r="H369" s="47">
        <f>SUM(H367:H368)</f>
        <v>198555.57</v>
      </c>
      <c r="I369" s="47">
        <f>SUM(I367:I368)</f>
        <v>529118.35000000009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50000</v>
      </c>
      <c r="H395" s="18">
        <v>4.25</v>
      </c>
      <c r="I395" s="18"/>
      <c r="J395" s="24" t="s">
        <v>289</v>
      </c>
      <c r="K395" s="24" t="s">
        <v>289</v>
      </c>
      <c r="L395" s="56">
        <f t="shared" ref="L395:L400" si="26">SUM(F395:K395)</f>
        <v>50004.25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150000</v>
      </c>
      <c r="H396" s="18">
        <v>40.15</v>
      </c>
      <c r="I396" s="18"/>
      <c r="J396" s="24" t="s">
        <v>289</v>
      </c>
      <c r="K396" s="24" t="s">
        <v>289</v>
      </c>
      <c r="L396" s="56">
        <f t="shared" si="26"/>
        <v>150040.15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34.880000000000003</v>
      </c>
      <c r="I397" s="18"/>
      <c r="J397" s="24" t="s">
        <v>289</v>
      </c>
      <c r="K397" s="24" t="s">
        <v>289</v>
      </c>
      <c r="L397" s="56">
        <f t="shared" si="26"/>
        <v>100034.88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f>820.99+821</f>
        <v>1641.99</v>
      </c>
      <c r="J400" s="24" t="s">
        <v>289</v>
      </c>
      <c r="K400" s="24" t="s">
        <v>289</v>
      </c>
      <c r="L400" s="56">
        <f t="shared" si="26"/>
        <v>1641.99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300000</v>
      </c>
      <c r="H401" s="47">
        <f>SUM(H395:H400)</f>
        <v>79.28</v>
      </c>
      <c r="I401" s="47">
        <f>SUM(I395:I400)</f>
        <v>1641.99</v>
      </c>
      <c r="J401" s="45" t="s">
        <v>289</v>
      </c>
      <c r="K401" s="45" t="s">
        <v>289</v>
      </c>
      <c r="L401" s="47">
        <f>SUM(L395:L400)</f>
        <v>301721.27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300000</v>
      </c>
      <c r="H408" s="47">
        <f>H393+H401+H407</f>
        <v>79.28</v>
      </c>
      <c r="I408" s="47">
        <f>I393+I401+I407</f>
        <v>1641.99</v>
      </c>
      <c r="J408" s="24" t="s">
        <v>289</v>
      </c>
      <c r="K408" s="24" t="s">
        <v>289</v>
      </c>
      <c r="L408" s="47">
        <f>L393+L401+L407</f>
        <v>301721.27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220000</v>
      </c>
      <c r="L423" s="56">
        <f t="shared" si="29"/>
        <v>220000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220000</v>
      </c>
      <c r="L427" s="47">
        <f t="shared" si="30"/>
        <v>220000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220000</v>
      </c>
      <c r="L434" s="47">
        <f t="shared" si="32"/>
        <v>220000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15196.65+865.48</f>
        <v>16062.13</v>
      </c>
      <c r="H439" s="18"/>
      <c r="I439" s="56">
        <f t="shared" ref="I439:I445" si="33">SUM(F439:H439)</f>
        <v>16062.13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546217.56000000006</v>
      </c>
      <c r="G440" s="18">
        <f>100004.25+416844.38</f>
        <v>516848.63</v>
      </c>
      <c r="H440" s="18"/>
      <c r="I440" s="56">
        <f t="shared" si="33"/>
        <v>1063066.19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546217.56000000006</v>
      </c>
      <c r="G446" s="13">
        <f>SUM(G439:G445)</f>
        <v>532910.76</v>
      </c>
      <c r="H446" s="13">
        <f>SUM(H439:H445)</f>
        <v>0</v>
      </c>
      <c r="I446" s="13">
        <f>SUM(I439:I445)</f>
        <v>1079128.3199999998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F446</f>
        <v>546217.56000000006</v>
      </c>
      <c r="G459" s="18">
        <f>G446</f>
        <v>532910.76</v>
      </c>
      <c r="H459" s="18"/>
      <c r="I459" s="56">
        <f t="shared" si="34"/>
        <v>1079128.32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546217.56000000006</v>
      </c>
      <c r="G460" s="83">
        <f>SUM(G454:G459)</f>
        <v>532910.76</v>
      </c>
      <c r="H460" s="83">
        <f>SUM(H454:H459)</f>
        <v>0</v>
      </c>
      <c r="I460" s="83">
        <f>SUM(I454:I459)</f>
        <v>1079128.32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546217.56000000006</v>
      </c>
      <c r="G461" s="42">
        <f>G452+G460</f>
        <v>532910.76</v>
      </c>
      <c r="H461" s="42">
        <f>H452+H460</f>
        <v>0</v>
      </c>
      <c r="I461" s="42">
        <f>I452+I460</f>
        <v>1079128.32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1586674.48</f>
        <v>1586674.48</v>
      </c>
      <c r="G465" s="18">
        <v>-98301.56</v>
      </c>
      <c r="H465" s="18"/>
      <c r="I465" s="18"/>
      <c r="J465" s="18">
        <f>982978.69+14428.36</f>
        <v>997407.04999999993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42823146.890000008</v>
      </c>
      <c r="G468" s="18">
        <f>G193</f>
        <v>1307061.97</v>
      </c>
      <c r="H468" s="18">
        <f>H193</f>
        <v>1251721.8</v>
      </c>
      <c r="I468" s="18">
        <f>I193</f>
        <v>0</v>
      </c>
      <c r="J468" s="18">
        <f>L408</f>
        <v>301721.27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6184.14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42829331.030000009</v>
      </c>
      <c r="G470" s="53">
        <f>SUM(G468:G469)</f>
        <v>1307061.97</v>
      </c>
      <c r="H470" s="53">
        <f>SUM(H468:H469)</f>
        <v>1251721.8</v>
      </c>
      <c r="I470" s="53">
        <f>SUM(I468:I469)</f>
        <v>0</v>
      </c>
      <c r="J470" s="53">
        <f>SUM(J468:J469)</f>
        <v>301721.27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41922664.676536754</v>
      </c>
      <c r="G472" s="18">
        <f>L362</f>
        <v>1295799.1954600001</v>
      </c>
      <c r="H472" s="18">
        <f>L352</f>
        <v>1251721.7975000001</v>
      </c>
      <c r="I472" s="18"/>
      <c r="J472" s="18">
        <f>L434</f>
        <v>220000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41922664.676536754</v>
      </c>
      <c r="G474" s="53">
        <f>SUM(G472:G473)</f>
        <v>1295799.1954600001</v>
      </c>
      <c r="H474" s="53">
        <f>SUM(H472:H473)</f>
        <v>1251721.7975000001</v>
      </c>
      <c r="I474" s="53">
        <f>SUM(I472:I473)</f>
        <v>0</v>
      </c>
      <c r="J474" s="53">
        <f>SUM(J472:J473)</f>
        <v>220000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2493340.8334632516</v>
      </c>
      <c r="G476" s="53">
        <f>(G465+G470)- G474</f>
        <v>-87038.785460000159</v>
      </c>
      <c r="H476" s="53">
        <f>(H465+H470)- H474</f>
        <v>2.4999999441206455E-3</v>
      </c>
      <c r="I476" s="53">
        <f>(I465+I470)- I474</f>
        <v>0</v>
      </c>
      <c r="J476" s="53">
        <f>(J465+J470)- J474</f>
        <v>1079128.3199999998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3575000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1.6918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3215000</v>
      </c>
      <c r="G495" s="18"/>
      <c r="H495" s="18"/>
      <c r="I495" s="18"/>
      <c r="J495" s="18"/>
      <c r="K495" s="53">
        <f>SUM(F495:J495)</f>
        <v>3215000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360000</v>
      </c>
      <c r="G497" s="18"/>
      <c r="H497" s="18"/>
      <c r="I497" s="18"/>
      <c r="J497" s="18"/>
      <c r="K497" s="53">
        <f t="shared" si="35"/>
        <v>360000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2855000</v>
      </c>
      <c r="G498" s="204"/>
      <c r="H498" s="204"/>
      <c r="I498" s="204"/>
      <c r="J498" s="204"/>
      <c r="K498" s="205">
        <f t="shared" si="35"/>
        <v>2855000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53411</v>
      </c>
      <c r="G499" s="18"/>
      <c r="H499" s="18"/>
      <c r="I499" s="18"/>
      <c r="J499" s="18"/>
      <c r="K499" s="53">
        <f t="shared" si="35"/>
        <v>53411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2908411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2908411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360000</v>
      </c>
      <c r="G501" s="204"/>
      <c r="H501" s="204"/>
      <c r="I501" s="204"/>
      <c r="J501" s="204"/>
      <c r="K501" s="205">
        <f t="shared" si="35"/>
        <v>360000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54877.5+54877.5</f>
        <v>109755</v>
      </c>
      <c r="G502" s="18"/>
      <c r="H502" s="18"/>
      <c r="I502" s="18"/>
      <c r="J502" s="18"/>
      <c r="K502" s="53">
        <f t="shared" si="35"/>
        <v>109755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469755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469755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85894+65822.2+44377.1+65635+51722+61932+148980.91+61300.49+63888.21+23942.58+22881.28+33321.83+20697.46+108616.06+192182.47+17650.85+0.4*68263.07+0.5*82781.5+0.5*135237.11+F277</f>
        <v>1381832.683</v>
      </c>
      <c r="G521" s="18">
        <f>G277+(F521*7.65%)+(F521*14.416%)</f>
        <v>381691.46983078006</v>
      </c>
      <c r="H521" s="18">
        <f>0.4*105729.63+H277+42008.4+42008.4+33327+11418+790+500+1850+1815+5005+8+58.5+135444.89</f>
        <v>351664.94200000004</v>
      </c>
      <c r="I521" s="18">
        <f>I198+I277+0.4*13421.42</f>
        <v>28631.868000000002</v>
      </c>
      <c r="J521" s="18">
        <f>J198+J277</f>
        <v>10570.811</v>
      </c>
      <c r="K521" s="18">
        <f>K198+K277</f>
        <v>2420.25</v>
      </c>
      <c r="L521" s="88">
        <f>SUM(F521:K521)</f>
        <v>2156812.0238307803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151141.4+252197.95+166492.24+219852.14+0.3*68263.07+0.5*82781.5+0.5*135237.11+F296</f>
        <v>1008167.676</v>
      </c>
      <c r="G522" s="18">
        <f>G296+(F522*22.066%)</f>
        <v>285699.19938616001</v>
      </c>
      <c r="H522" s="18">
        <f>0.26*105729.63+H296+326984.13+16569.98+86424.5+1056.55</f>
        <v>474924.76379999996</v>
      </c>
      <c r="I522" s="18">
        <f>I216+I296+0.26*13421.42</f>
        <v>17608.059200000003</v>
      </c>
      <c r="J522" s="18">
        <f>J216+J296</f>
        <v>8168.6309999999994</v>
      </c>
      <c r="K522" s="18">
        <f>K216+K296</f>
        <v>2420.25</v>
      </c>
      <c r="L522" s="88">
        <f>SUM(F522:K522)</f>
        <v>1796988.5793861598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0.3*68263.07+F315+614035.91+527030.59</f>
        <v>1161545.4210000001</v>
      </c>
      <c r="G523" s="18">
        <f>399293.53+(F523*22.066%)</f>
        <v>655600.14259786007</v>
      </c>
      <c r="H523" s="18">
        <f>0.34*105729.63+150+H315+3102.85+5395.76+138801.87+38698.8+48885.52+42656.06+257828.97+102095.43+44273.99+29000+126303+5733.76+29563.62+1100+5951.36</f>
        <v>925040.46420000005</v>
      </c>
      <c r="I523" s="18">
        <f>I234+I315+0.34*13421.42</f>
        <v>26270.442800000004</v>
      </c>
      <c r="J523" s="18">
        <f>J234+J315</f>
        <v>10891.508000000002</v>
      </c>
      <c r="K523" s="18">
        <f>K234+K315</f>
        <v>3227</v>
      </c>
      <c r="L523" s="88">
        <f>SUM(F523:K523)</f>
        <v>2782574.9785978599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3551545.7800000003</v>
      </c>
      <c r="G524" s="108">
        <f t="shared" ref="G524:L524" si="36">SUM(G521:G523)</f>
        <v>1322990.8118148001</v>
      </c>
      <c r="H524" s="108">
        <f t="shared" si="36"/>
        <v>1751630.17</v>
      </c>
      <c r="I524" s="108">
        <f t="shared" si="36"/>
        <v>72510.37000000001</v>
      </c>
      <c r="J524" s="108">
        <f t="shared" si="36"/>
        <v>29630.95</v>
      </c>
      <c r="K524" s="108">
        <f t="shared" si="36"/>
        <v>8067.5</v>
      </c>
      <c r="L524" s="89">
        <f t="shared" si="36"/>
        <v>6736375.5818147995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0.4*78286.29+0.4*860285.66+0.4*81249.73+0.4*158506.15</f>
        <v>471331.13200000004</v>
      </c>
      <c r="G526" s="18">
        <f>F526*7.65%+F526*14.416%</f>
        <v>104003.92758712001</v>
      </c>
      <c r="H526" s="18">
        <f>0.4*22159.66</f>
        <v>8863.8639999999996</v>
      </c>
      <c r="I526" s="18">
        <f>0.4*10354.23</f>
        <v>4141.692</v>
      </c>
      <c r="J526" s="18"/>
      <c r="K526" s="18"/>
      <c r="L526" s="88">
        <f>SUM(F526:K526)</f>
        <v>588340.61558712006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0.3*78286.29+0.26*860285.66+0.26*81249.73+0.26*158506.15</f>
        <v>309496.6874</v>
      </c>
      <c r="G527" s="18">
        <f t="shared" ref="G527:G528" si="37">F527*7.65%+F527*14.416%</f>
        <v>68293.539041683995</v>
      </c>
      <c r="H527" s="18">
        <f>1753.68+0.26*22159.66</f>
        <v>7515.1916000000001</v>
      </c>
      <c r="I527" s="18">
        <f>0.26*10354.23</f>
        <v>2692.0998</v>
      </c>
      <c r="J527" s="18"/>
      <c r="K527" s="18"/>
      <c r="L527" s="88">
        <f>SUM(F527:K527)</f>
        <v>387997.51784168405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0.3*78286.29+0.34*860285.66+0.34*81249.73+46095.69+0.34*158506.15</f>
        <v>443595.70060000004</v>
      </c>
      <c r="G528" s="18">
        <f t="shared" si="37"/>
        <v>97883.827294396004</v>
      </c>
      <c r="H528" s="18">
        <f>0.34*22159.66</f>
        <v>7534.2844000000005</v>
      </c>
      <c r="I528" s="18">
        <f>0.34*10354.23</f>
        <v>3520.4382000000001</v>
      </c>
      <c r="J528" s="18"/>
      <c r="K528" s="18"/>
      <c r="L528" s="88">
        <f>SUM(F528:K528)</f>
        <v>552534.25049439608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1224423.52</v>
      </c>
      <c r="G529" s="89">
        <f t="shared" ref="G529:L529" si="38">SUM(G526:G528)</f>
        <v>270181.29392319999</v>
      </c>
      <c r="H529" s="89">
        <f t="shared" si="38"/>
        <v>23913.34</v>
      </c>
      <c r="I529" s="89">
        <f t="shared" si="38"/>
        <v>10354.23</v>
      </c>
      <c r="J529" s="89">
        <f t="shared" si="38"/>
        <v>0</v>
      </c>
      <c r="K529" s="89">
        <f t="shared" si="38"/>
        <v>0</v>
      </c>
      <c r="L529" s="89">
        <f t="shared" si="38"/>
        <v>1528872.3839232002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0.4*62768.58+0.4*184973.8+815.55</f>
        <v>99912.502000000008</v>
      </c>
      <c r="G531" s="18">
        <f>0.4*44673.93+(F531*18.42%)</f>
        <v>36273.454868400004</v>
      </c>
      <c r="H531" s="18">
        <v>15.58</v>
      </c>
      <c r="I531" s="18"/>
      <c r="J531" s="18"/>
      <c r="K531" s="18"/>
      <c r="L531" s="88">
        <f>SUM(F531:K531)</f>
        <v>136201.5368684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0.26*62768.58+0.26*184973.8</f>
        <v>64413.018800000005</v>
      </c>
      <c r="G532" s="18">
        <f>0.26*44673.93+(F532*18.42%)</f>
        <v>23480.099862960004</v>
      </c>
      <c r="H532" s="18">
        <f>1262.25</f>
        <v>1262.25</v>
      </c>
      <c r="I532" s="18"/>
      <c r="J532" s="18"/>
      <c r="K532" s="18"/>
      <c r="L532" s="88">
        <f>SUM(F532:K532)</f>
        <v>89155.368662960012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0.34*62768.58+0.34*184973.8+79000</f>
        <v>163232.40919999999</v>
      </c>
      <c r="G533" s="18">
        <f>0.34*44673.93+(F533*18.42%)</f>
        <v>45256.545974640001</v>
      </c>
      <c r="H533" s="18"/>
      <c r="I533" s="18"/>
      <c r="J533" s="18"/>
      <c r="K533" s="18"/>
      <c r="L533" s="88">
        <f>SUM(F533:K533)</f>
        <v>208488.95517464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327557.93</v>
      </c>
      <c r="G534" s="89">
        <f t="shared" ref="G534:L534" si="39">SUM(G531:G533)</f>
        <v>105010.10070600001</v>
      </c>
      <c r="H534" s="89">
        <f t="shared" si="39"/>
        <v>1277.83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433845.86070600001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0.4*5895.01</f>
        <v>2358.0040000000004</v>
      </c>
      <c r="I536" s="18"/>
      <c r="J536" s="18"/>
      <c r="K536" s="18"/>
      <c r="L536" s="88">
        <f>SUM(F536:K536)</f>
        <v>2358.0040000000004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0.26*5895.01</f>
        <v>1532.7026000000001</v>
      </c>
      <c r="I537" s="18"/>
      <c r="J537" s="18"/>
      <c r="K537" s="18"/>
      <c r="L537" s="88">
        <f>SUM(F537:K537)</f>
        <v>1532.7026000000001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0.34*5895.01</f>
        <v>2004.3034000000002</v>
      </c>
      <c r="I538" s="18"/>
      <c r="J538" s="18"/>
      <c r="K538" s="18"/>
      <c r="L538" s="88">
        <f>SUM(F538:K538)</f>
        <v>2004.3034000000002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5895.01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5895.01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0.4*565025.01</f>
        <v>226010.00400000002</v>
      </c>
      <c r="I541" s="18"/>
      <c r="J541" s="18"/>
      <c r="K541" s="18"/>
      <c r="L541" s="88">
        <f>SUM(F541:K541)</f>
        <v>226010.00400000002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0.26*565025.01</f>
        <v>146906.50260000001</v>
      </c>
      <c r="I542" s="18"/>
      <c r="J542" s="18"/>
      <c r="K542" s="18"/>
      <c r="L542" s="88">
        <f>SUM(F542:K542)</f>
        <v>146906.50260000001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0.34*565025.01</f>
        <v>192108.50340000002</v>
      </c>
      <c r="I543" s="18"/>
      <c r="J543" s="18"/>
      <c r="K543" s="18"/>
      <c r="L543" s="88">
        <f>SUM(F543:K543)</f>
        <v>192108.50340000002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565025.01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565025.01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5103527.2300000004</v>
      </c>
      <c r="G545" s="89">
        <f t="shared" ref="G545:L545" si="42">G524+G529+G534+G539+G544</f>
        <v>1698182.2064440001</v>
      </c>
      <c r="H545" s="89">
        <f t="shared" si="42"/>
        <v>2347741.3600000003</v>
      </c>
      <c r="I545" s="89">
        <f t="shared" si="42"/>
        <v>82864.600000000006</v>
      </c>
      <c r="J545" s="89">
        <f t="shared" si="42"/>
        <v>29630.95</v>
      </c>
      <c r="K545" s="89">
        <f t="shared" si="42"/>
        <v>8067.5</v>
      </c>
      <c r="L545" s="89">
        <f t="shared" si="42"/>
        <v>9270013.8464439996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2156812.0238307803</v>
      </c>
      <c r="G549" s="87">
        <f>L526</f>
        <v>588340.61558712006</v>
      </c>
      <c r="H549" s="87">
        <f>L531</f>
        <v>136201.5368684</v>
      </c>
      <c r="I549" s="87">
        <f>L536</f>
        <v>2358.0040000000004</v>
      </c>
      <c r="J549" s="87">
        <f>L541</f>
        <v>226010.00400000002</v>
      </c>
      <c r="K549" s="87">
        <f>SUM(F549:J549)</f>
        <v>3109722.1842863006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1796988.5793861598</v>
      </c>
      <c r="G550" s="87">
        <f>L527</f>
        <v>387997.51784168405</v>
      </c>
      <c r="H550" s="87">
        <f>L532</f>
        <v>89155.368662960012</v>
      </c>
      <c r="I550" s="87">
        <f>L537</f>
        <v>1532.7026000000001</v>
      </c>
      <c r="J550" s="87">
        <f>L542</f>
        <v>146906.50260000001</v>
      </c>
      <c r="K550" s="87">
        <f>SUM(F550:J550)</f>
        <v>2422580.671090804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2782574.9785978599</v>
      </c>
      <c r="G551" s="87">
        <f>L528</f>
        <v>552534.25049439608</v>
      </c>
      <c r="H551" s="87">
        <f>L533</f>
        <v>208488.95517464</v>
      </c>
      <c r="I551" s="87">
        <f>L538</f>
        <v>2004.3034000000002</v>
      </c>
      <c r="J551" s="87">
        <f>L543</f>
        <v>192108.50340000002</v>
      </c>
      <c r="K551" s="87">
        <f>SUM(F551:J551)</f>
        <v>3737710.9910668959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6736375.5818147995</v>
      </c>
      <c r="G552" s="89">
        <f t="shared" si="43"/>
        <v>1528872.3839232002</v>
      </c>
      <c r="H552" s="89">
        <f t="shared" si="43"/>
        <v>433845.86070600001</v>
      </c>
      <c r="I552" s="89">
        <f t="shared" si="43"/>
        <v>5895.01</v>
      </c>
      <c r="J552" s="89">
        <f t="shared" si="43"/>
        <v>565025.01</v>
      </c>
      <c r="K552" s="89">
        <f t="shared" si="43"/>
        <v>9270013.8464439996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0.4*53584</f>
        <v>21433.600000000002</v>
      </c>
      <c r="G562" s="18">
        <f>F562*21.65%</f>
        <v>4640.3744000000006</v>
      </c>
      <c r="H562" s="18">
        <f>0.4*3389.23</f>
        <v>1355.692</v>
      </c>
      <c r="I562" s="18">
        <f>0.4*1892.61</f>
        <v>757.04399999999998</v>
      </c>
      <c r="J562" s="18"/>
      <c r="K562" s="18"/>
      <c r="L562" s="88">
        <f>SUM(F562:K562)</f>
        <v>28186.710400000004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0.26*53584</f>
        <v>13931.84</v>
      </c>
      <c r="G563" s="18">
        <f t="shared" ref="G563:G564" si="45">F563*21.65%</f>
        <v>3016.2433599999999</v>
      </c>
      <c r="H563" s="18">
        <f>0.26*3389.23</f>
        <v>881.19979999999998</v>
      </c>
      <c r="I563" s="18">
        <f>0.26*1892.61</f>
        <v>492.07859999999999</v>
      </c>
      <c r="J563" s="18"/>
      <c r="K563" s="18"/>
      <c r="L563" s="88">
        <f>SUM(F563:K563)</f>
        <v>18321.36176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0.34*53584</f>
        <v>18218.560000000001</v>
      </c>
      <c r="G564" s="18">
        <f t="shared" si="45"/>
        <v>3944.3182400000001</v>
      </c>
      <c r="H564" s="18">
        <f>0.34*3389.23</f>
        <v>1152.3382000000001</v>
      </c>
      <c r="I564" s="18">
        <f>0.34*1892.61</f>
        <v>643.48739999999998</v>
      </c>
      <c r="J564" s="18"/>
      <c r="K564" s="18"/>
      <c r="L564" s="88">
        <f>SUM(F564:K564)</f>
        <v>23958.703840000002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6">SUM(F562:F564)</f>
        <v>53584</v>
      </c>
      <c r="G565" s="89">
        <f t="shared" si="46"/>
        <v>11600.936000000002</v>
      </c>
      <c r="H565" s="89">
        <f t="shared" si="46"/>
        <v>3389.23</v>
      </c>
      <c r="I565" s="89">
        <f t="shared" si="46"/>
        <v>1892.61</v>
      </c>
      <c r="J565" s="89">
        <f t="shared" si="46"/>
        <v>0</v>
      </c>
      <c r="K565" s="89">
        <f t="shared" si="46"/>
        <v>0</v>
      </c>
      <c r="L565" s="89">
        <f t="shared" si="46"/>
        <v>70466.776000000013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53584</v>
      </c>
      <c r="G571" s="89">
        <f t="shared" ref="G571:L571" si="48">G560+G565+G570</f>
        <v>11600.936000000002</v>
      </c>
      <c r="H571" s="89">
        <f t="shared" si="48"/>
        <v>3389.23</v>
      </c>
      <c r="I571" s="89">
        <f t="shared" si="48"/>
        <v>1892.61</v>
      </c>
      <c r="J571" s="89">
        <f t="shared" si="48"/>
        <v>0</v>
      </c>
      <c r="K571" s="89">
        <f t="shared" si="48"/>
        <v>0</v>
      </c>
      <c r="L571" s="89">
        <f t="shared" si="48"/>
        <v>70466.776000000013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26694.22</v>
      </c>
      <c r="I577" s="87">
        <f t="shared" si="49"/>
        <v>26694.22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29000+38698.8</f>
        <v>67698.8</v>
      </c>
      <c r="I579" s="87">
        <f t="shared" si="49"/>
        <v>67698.8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9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42008.4+33327+11418+790+500+1850+1815+5005+18+58.5</f>
        <v>96789.9</v>
      </c>
      <c r="G582" s="18">
        <f>16569.98+86424.5+1056.55</f>
        <v>104051.03</v>
      </c>
      <c r="H582" s="18">
        <f>95482.66+5395.76+138801.87+44273.99+126303+1100+5951.36</f>
        <v>417308.63999999996</v>
      </c>
      <c r="I582" s="87">
        <f t="shared" si="49"/>
        <v>618149.56999999995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f>135444.89</f>
        <v>135444.89000000001</v>
      </c>
      <c r="G583" s="18">
        <f>326984.13</f>
        <v>326984.13</v>
      </c>
      <c r="H583" s="18">
        <f>48885.52+102095.43+257828.97+5733.76+29563.62</f>
        <v>444107.3</v>
      </c>
      <c r="I583" s="87">
        <f t="shared" si="49"/>
        <v>906536.32000000007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32498.54</v>
      </c>
      <c r="I584" s="87">
        <f t="shared" si="49"/>
        <v>32498.54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645168.22</v>
      </c>
      <c r="I591" s="18">
        <v>461136.16</v>
      </c>
      <c r="J591" s="18">
        <v>506477.13</v>
      </c>
      <c r="K591" s="104">
        <f t="shared" ref="K591:K597" si="50">SUM(H591:J591)</f>
        <v>1612781.5099999998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226010</v>
      </c>
      <c r="I592" s="18">
        <v>192108.5</v>
      </c>
      <c r="J592" s="18">
        <v>146906.5</v>
      </c>
      <c r="K592" s="104">
        <f t="shared" si="50"/>
        <v>565025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50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21066.43</v>
      </c>
      <c r="J594" s="18">
        <v>75025.42</v>
      </c>
      <c r="K594" s="104">
        <f t="shared" si="50"/>
        <v>96091.85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20995.86</v>
      </c>
      <c r="I595" s="18">
        <v>35175.9</v>
      </c>
      <c r="J595" s="18">
        <v>4470.4799999999996</v>
      </c>
      <c r="K595" s="104">
        <f t="shared" si="50"/>
        <v>60642.240000000005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892174.08</v>
      </c>
      <c r="I598" s="108">
        <f>SUM(I591:I597)</f>
        <v>709486.99</v>
      </c>
      <c r="J598" s="108">
        <f>SUM(J591:J597)</f>
        <v>732879.53</v>
      </c>
      <c r="K598" s="108">
        <f>SUM(K591:K597)</f>
        <v>2334540.6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140750.80300000001</v>
      </c>
      <c r="I604" s="18">
        <f>J229+J309</f>
        <v>199115.67500000005</v>
      </c>
      <c r="J604" s="18">
        <f>J247+J328</f>
        <v>415442.69199999998</v>
      </c>
      <c r="K604" s="104">
        <f>SUM(H604:J604)</f>
        <v>755309.17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140750.80300000001</v>
      </c>
      <c r="I605" s="108">
        <f>SUM(I602:I604)</f>
        <v>199115.67500000005</v>
      </c>
      <c r="J605" s="108">
        <f>SUM(J602:J604)</f>
        <v>415442.69199999998</v>
      </c>
      <c r="K605" s="108">
        <f>SUM(K602:K604)</f>
        <v>755309.17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0.4*68263.07</f>
        <v>27305.228000000003</v>
      </c>
      <c r="G611" s="18">
        <f>F611*21.65%</f>
        <v>5911.5818620000009</v>
      </c>
      <c r="H611" s="18">
        <f>0.4*5100</f>
        <v>2040</v>
      </c>
      <c r="I611" s="18">
        <f>359.45</f>
        <v>359.45</v>
      </c>
      <c r="J611" s="18"/>
      <c r="K611" s="18"/>
      <c r="L611" s="88">
        <f>SUM(F611:K611)</f>
        <v>35616.259861999999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0.26*68263.07</f>
        <v>17748.398200000003</v>
      </c>
      <c r="G612" s="18">
        <f>F612*21.65%</f>
        <v>3842.5282103000009</v>
      </c>
      <c r="H612" s="18">
        <f>0.26*5100</f>
        <v>1326</v>
      </c>
      <c r="I612" s="18"/>
      <c r="J612" s="18"/>
      <c r="K612" s="18"/>
      <c r="L612" s="88">
        <f>SUM(F612:K612)</f>
        <v>22916.926410300002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27501.2+0.34*68263.07</f>
        <v>50710.643800000005</v>
      </c>
      <c r="G613" s="18">
        <f>F613*21.65%</f>
        <v>10978.854382700001</v>
      </c>
      <c r="H613" s="18">
        <f>0.34*5100</f>
        <v>1734.0000000000002</v>
      </c>
      <c r="I613" s="18"/>
      <c r="J613" s="18"/>
      <c r="K613" s="18"/>
      <c r="L613" s="88">
        <f>SUM(F613:K613)</f>
        <v>63423.498182700008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1">SUM(F611:F613)</f>
        <v>95764.270000000019</v>
      </c>
      <c r="G614" s="108">
        <f t="shared" si="51"/>
        <v>20732.964455000001</v>
      </c>
      <c r="H614" s="108">
        <f t="shared" si="51"/>
        <v>5100</v>
      </c>
      <c r="I614" s="108">
        <f t="shared" si="51"/>
        <v>359.45</v>
      </c>
      <c r="J614" s="108">
        <f t="shared" si="51"/>
        <v>0</v>
      </c>
      <c r="K614" s="108">
        <f t="shared" si="51"/>
        <v>0</v>
      </c>
      <c r="L614" s="89">
        <f t="shared" si="51"/>
        <v>121956.68445500001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2937864.9500000007</v>
      </c>
      <c r="H617" s="109">
        <f>SUM(F52)</f>
        <v>2937864.9500000007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68549.98</v>
      </c>
      <c r="H618" s="109">
        <f>SUM(G52)</f>
        <v>68549.98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309337.19</v>
      </c>
      <c r="H619" s="109">
        <f>SUM(H52)</f>
        <v>309337.19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1079128.3199999998</v>
      </c>
      <c r="H621" s="109">
        <f>SUM(J52)</f>
        <v>1079128.32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2493340.8300000005</v>
      </c>
      <c r="H622" s="109">
        <f>F476</f>
        <v>2493340.8334632516</v>
      </c>
      <c r="I622" s="121" t="s">
        <v>101</v>
      </c>
      <c r="J622" s="109">
        <f t="shared" ref="J622:J655" si="52">G622-H622</f>
        <v>-3.4632510505616665E-3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-87038.79</v>
      </c>
      <c r="H623" s="109">
        <f>G476</f>
        <v>-87038.785460000159</v>
      </c>
      <c r="I623" s="121" t="s">
        <v>102</v>
      </c>
      <c r="J623" s="109">
        <f t="shared" si="52"/>
        <v>-4.5399998343782499E-3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2.4999999441206455E-3</v>
      </c>
      <c r="I624" s="121" t="s">
        <v>103</v>
      </c>
      <c r="J624" s="109">
        <f t="shared" si="52"/>
        <v>-2.4999999441206455E-3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1079128.32</v>
      </c>
      <c r="H626" s="109">
        <f>J476</f>
        <v>1079128.3199999998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42823146.890000008</v>
      </c>
      <c r="H627" s="104">
        <f>SUM(F468)</f>
        <v>42823146.890000008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1307061.97</v>
      </c>
      <c r="H628" s="104">
        <f>SUM(G468)</f>
        <v>1307061.97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1251721.8</v>
      </c>
      <c r="H629" s="104">
        <f>SUM(H468)</f>
        <v>1251721.8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301721.27</v>
      </c>
      <c r="H631" s="104">
        <f>SUM(J468)</f>
        <v>301721.27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41922664.676536754</v>
      </c>
      <c r="H632" s="104">
        <f>SUM(F472)</f>
        <v>41922664.676536754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1251721.7975000001</v>
      </c>
      <c r="H633" s="104">
        <f>SUM(H472)</f>
        <v>1251721.7975000001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529118.35000000009</v>
      </c>
      <c r="H634" s="104">
        <f>I369</f>
        <v>529118.35000000009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1295799.1954600001</v>
      </c>
      <c r="H635" s="104">
        <f>SUM(G472)</f>
        <v>1295799.1954600001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301721.27</v>
      </c>
      <c r="H637" s="164">
        <f>SUM(J468)</f>
        <v>301721.27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220000</v>
      </c>
      <c r="H638" s="164">
        <f>SUM(J472)</f>
        <v>220000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546217.56000000006</v>
      </c>
      <c r="H639" s="104">
        <f>SUM(F461)</f>
        <v>546217.56000000006</v>
      </c>
      <c r="I639" s="140" t="s">
        <v>857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532910.76</v>
      </c>
      <c r="H640" s="104">
        <f>SUM(G461)</f>
        <v>532910.76</v>
      </c>
      <c r="I640" s="140" t="s">
        <v>858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1079128.3199999998</v>
      </c>
      <c r="H642" s="104">
        <f>SUM(I461)</f>
        <v>1079128.32</v>
      </c>
      <c r="I642" s="140" t="s">
        <v>860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79.28</v>
      </c>
      <c r="H644" s="104">
        <f>H408</f>
        <v>79.28</v>
      </c>
      <c r="I644" s="140" t="s">
        <v>481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300000</v>
      </c>
      <c r="H645" s="104">
        <f>G408</f>
        <v>300000</v>
      </c>
      <c r="I645" s="140" t="s">
        <v>482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301721.27</v>
      </c>
      <c r="H646" s="104">
        <f>L408</f>
        <v>301721.27</v>
      </c>
      <c r="I646" s="140" t="s">
        <v>478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2334540.6</v>
      </c>
      <c r="H647" s="104">
        <f>L208+L226+L244</f>
        <v>2334540.6</v>
      </c>
      <c r="I647" s="140" t="s">
        <v>397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755309.17</v>
      </c>
      <c r="H648" s="104">
        <f>(J257+J338)-(J255+J336)</f>
        <v>755309.17</v>
      </c>
      <c r="I648" s="140" t="s">
        <v>703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892174.07599999988</v>
      </c>
      <c r="H649" s="104">
        <f>H598</f>
        <v>892174.08</v>
      </c>
      <c r="I649" s="140" t="s">
        <v>389</v>
      </c>
      <c r="J649" s="109">
        <f t="shared" si="52"/>
        <v>-4.0000000735744834E-3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709486.99199999997</v>
      </c>
      <c r="H650" s="104">
        <f>I598</f>
        <v>709486.99</v>
      </c>
      <c r="I650" s="140" t="s">
        <v>390</v>
      </c>
      <c r="J650" s="109">
        <f t="shared" si="52"/>
        <v>1.9999999785795808E-3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732879.53200000001</v>
      </c>
      <c r="H651" s="104">
        <f>J598</f>
        <v>732879.53</v>
      </c>
      <c r="I651" s="140" t="s">
        <v>391</v>
      </c>
      <c r="J651" s="109">
        <f t="shared" si="52"/>
        <v>1.9999999785795808E-3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322609.71999999997</v>
      </c>
      <c r="H652" s="104">
        <f>K263+K345</f>
        <v>322609.71999999997</v>
      </c>
      <c r="I652" s="140" t="s">
        <v>398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300000</v>
      </c>
      <c r="H655" s="104">
        <f>K266+K347</f>
        <v>300000</v>
      </c>
      <c r="I655" s="140" t="s">
        <v>401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-1.0503247380256653E-2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15497841.011184018</v>
      </c>
      <c r="G660" s="19">
        <f>(L229+L309+L359)</f>
        <v>12737915.280746421</v>
      </c>
      <c r="H660" s="19">
        <f>(L247+L328+L360)</f>
        <v>15120404.997566316</v>
      </c>
      <c r="I660" s="19">
        <f>SUM(F660:H660)</f>
        <v>43356161.28949675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105899.23835366717</v>
      </c>
      <c r="G661" s="19">
        <f>(L359/IF(SUM(L358:L360)=0,1,SUM(L358:L360))*(SUM(G97:G110)))</f>
        <v>206843.60106592751</v>
      </c>
      <c r="H661" s="19">
        <f>(L360/IF(SUM(L358:L360)=0,1,SUM(L358:L360))*(SUM(G97:G110)))</f>
        <v>203392.50058040529</v>
      </c>
      <c r="I661" s="19">
        <f>SUM(F661:H661)</f>
        <v>516135.33999999997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892174.07599999988</v>
      </c>
      <c r="G662" s="19">
        <f>(L226+L306)-(J226+J306)</f>
        <v>709486.99199999997</v>
      </c>
      <c r="H662" s="19">
        <f>(L244+L325)-(J244+J325)</f>
        <v>732879.53200000001</v>
      </c>
      <c r="I662" s="19">
        <f>SUM(F662:H662)</f>
        <v>2334540.6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408601.852862</v>
      </c>
      <c r="G663" s="199">
        <f>SUM(G575:G587)+SUM(I602:I604)+L612</f>
        <v>653067.76141030004</v>
      </c>
      <c r="H663" s="199">
        <f>SUM(H575:H587)+SUM(J602:J604)+L613</f>
        <v>1467173.6901827001</v>
      </c>
      <c r="I663" s="19">
        <f>SUM(F663:H663)</f>
        <v>2528843.304455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14091165.84396835</v>
      </c>
      <c r="G664" s="19">
        <f>G660-SUM(G661:G663)</f>
        <v>11168516.926270194</v>
      </c>
      <c r="H664" s="19">
        <f>H660-SUM(H661:H663)</f>
        <v>12716959.27480321</v>
      </c>
      <c r="I664" s="19">
        <f>I660-SUM(I661:I663)</f>
        <v>37976642.045041747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782.95</v>
      </c>
      <c r="G665" s="248">
        <v>638.55999999999995</v>
      </c>
      <c r="H665" s="248">
        <v>811.95</v>
      </c>
      <c r="I665" s="19">
        <f>SUM(F665:H665)</f>
        <v>2233.46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17997.53</v>
      </c>
      <c r="G667" s="19">
        <f>ROUND(G664/G665,2)</f>
        <v>17490.16</v>
      </c>
      <c r="H667" s="19">
        <f>ROUND(H664/H665,2)</f>
        <v>15662.24</v>
      </c>
      <c r="I667" s="19">
        <f>ROUND(I664/I665,2)</f>
        <v>17003.5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-2.5</v>
      </c>
      <c r="I670" s="19">
        <f>SUM(F670:H670)</f>
        <v>-2.5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17997.53</v>
      </c>
      <c r="G672" s="19">
        <f>ROUND((G664+G669)/(G665+G670),2)</f>
        <v>17490.16</v>
      </c>
      <c r="H672" s="19">
        <f>ROUND((H664+H669)/(H665+H670),2)</f>
        <v>15710.62</v>
      </c>
      <c r="I672" s="19">
        <f>ROUND((I664+I669)/(I665+I670),2)</f>
        <v>17022.560000000001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 Vall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9097314.2899999991</v>
      </c>
      <c r="C9" s="229">
        <f>'DOE25'!G197+'DOE25'!G215+'DOE25'!G233+'DOE25'!G276+'DOE25'!G295+'DOE25'!G314</f>
        <v>5500812.5743854009</v>
      </c>
    </row>
    <row r="10" spans="1:3" x14ac:dyDescent="0.2">
      <c r="A10" t="s">
        <v>779</v>
      </c>
      <c r="B10" s="240">
        <v>8446717.5600000005</v>
      </c>
      <c r="C10" s="240">
        <v>5345369.4000000004</v>
      </c>
    </row>
    <row r="11" spans="1:3" x14ac:dyDescent="0.2">
      <c r="A11" t="s">
        <v>780</v>
      </c>
      <c r="B11" s="240">
        <v>285863.67</v>
      </c>
      <c r="C11" s="240">
        <v>127541.09</v>
      </c>
    </row>
    <row r="12" spans="1:3" x14ac:dyDescent="0.2">
      <c r="A12" t="s">
        <v>781</v>
      </c>
      <c r="B12" s="240">
        <v>364733.06</v>
      </c>
      <c r="C12" s="240">
        <v>27902.080000000002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9097314.290000001</v>
      </c>
      <c r="C13" s="231">
        <f>SUM(C10:C12)</f>
        <v>5500812.5700000003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5600243.0599999996</v>
      </c>
      <c r="C18" s="229">
        <f>'DOE25'!G198+'DOE25'!G216+'DOE25'!G234+'DOE25'!G277+'DOE25'!G296+'DOE25'!G315</f>
        <v>2636151.5371957999</v>
      </c>
    </row>
    <row r="19" spans="1:3" x14ac:dyDescent="0.2">
      <c r="A19" t="s">
        <v>779</v>
      </c>
      <c r="B19" s="240">
        <v>3304633.17</v>
      </c>
      <c r="C19" s="240">
        <v>1765393.16</v>
      </c>
    </row>
    <row r="20" spans="1:3" x14ac:dyDescent="0.2">
      <c r="A20" t="s">
        <v>780</v>
      </c>
      <c r="B20" s="240">
        <v>1780509.28</v>
      </c>
      <c r="C20" s="240">
        <v>759239.09000000008</v>
      </c>
    </row>
    <row r="21" spans="1:3" x14ac:dyDescent="0.2">
      <c r="A21" t="s">
        <v>781</v>
      </c>
      <c r="B21" s="240">
        <v>515100.61</v>
      </c>
      <c r="C21" s="240">
        <v>111519.29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5600243.0600000005</v>
      </c>
      <c r="C22" s="231">
        <f>SUM(C19:C21)</f>
        <v>2636151.54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676280.79</v>
      </c>
      <c r="C27" s="234">
        <f>'DOE25'!G199+'DOE25'!G217+'DOE25'!G235+'DOE25'!G278+'DOE25'!G297+'DOE25'!G316</f>
        <v>265913.57718859997</v>
      </c>
    </row>
    <row r="28" spans="1:3" x14ac:dyDescent="0.2">
      <c r="A28" t="s">
        <v>779</v>
      </c>
      <c r="B28" s="240">
        <v>676280.79</v>
      </c>
      <c r="C28" s="240">
        <v>265913.58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Error</v>
      </c>
      <c r="B31" s="231">
        <f>SUM(B28:B30)</f>
        <v>676280.79</v>
      </c>
      <c r="C31" s="231">
        <f>SUM(C28:C30)</f>
        <v>265913.58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437672.14</v>
      </c>
      <c r="C36" s="235">
        <f>'DOE25'!G200+'DOE25'!G218+'DOE25'!G236+'DOE25'!G279+'DOE25'!G298+'DOE25'!G317</f>
        <v>126764.29541240001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437672.14</v>
      </c>
      <c r="C39" s="240">
        <f>126764.3</f>
        <v>126764.3</v>
      </c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437672.14</v>
      </c>
      <c r="C40" s="231">
        <f>SUM(C37:C39)</f>
        <v>126764.3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Con Vall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27052061.4541822</v>
      </c>
      <c r="D5" s="20">
        <f>SUM('DOE25'!L197:L200)+SUM('DOE25'!L215:L218)+SUM('DOE25'!L233:L236)-F5-G5</f>
        <v>26380867.744182199</v>
      </c>
      <c r="E5" s="243"/>
      <c r="F5" s="255">
        <f>SUM('DOE25'!J197:J200)+SUM('DOE25'!J215:J218)+SUM('DOE25'!J233:J236)</f>
        <v>607116.6100000001</v>
      </c>
      <c r="G5" s="53">
        <f>SUM('DOE25'!K197:K200)+SUM('DOE25'!K215:K218)+SUM('DOE25'!K233:K236)</f>
        <v>64077.100000000006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1884616.3599214</v>
      </c>
      <c r="D6" s="20">
        <f>'DOE25'!L202+'DOE25'!L220+'DOE25'!L238-F6-G6</f>
        <v>1855402.4799214001</v>
      </c>
      <c r="E6" s="243"/>
      <c r="F6" s="255">
        <f>'DOE25'!J202+'DOE25'!J220+'DOE25'!J238</f>
        <v>29213.88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935365.56909916003</v>
      </c>
      <c r="D7" s="20">
        <f>'DOE25'!L203+'DOE25'!L221+'DOE25'!L239-F7-G7</f>
        <v>927027.35909916006</v>
      </c>
      <c r="E7" s="243"/>
      <c r="F7" s="255">
        <f>'DOE25'!J203+'DOE25'!J221+'DOE25'!J239</f>
        <v>8009.21</v>
      </c>
      <c r="G7" s="53">
        <f>'DOE25'!K203+'DOE25'!K221+'DOE25'!K239</f>
        <v>329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1292617.5412900001</v>
      </c>
      <c r="D8" s="243"/>
      <c r="E8" s="20">
        <f>'DOE25'!L204+'DOE25'!L222+'DOE25'!L240-F8-G8-D9-D11</f>
        <v>1265028.3592900003</v>
      </c>
      <c r="F8" s="255">
        <f>'DOE25'!J204+'DOE25'!J222+'DOE25'!J240</f>
        <v>1117.1400000000001</v>
      </c>
      <c r="G8" s="53">
        <f>'DOE25'!K204+'DOE25'!K222+'DOE25'!K240</f>
        <v>26472.042000000001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326637.69</v>
      </c>
      <c r="D9" s="244">
        <v>326637.69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24647</v>
      </c>
      <c r="D10" s="243"/>
      <c r="E10" s="244">
        <v>24647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270855</v>
      </c>
      <c r="D11" s="244">
        <f>184658.29+86196.71</f>
        <v>270855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2888552.9337518001</v>
      </c>
      <c r="D12" s="20">
        <f>'DOE25'!L205+'DOE25'!L223+'DOE25'!L241-F12-G12</f>
        <v>2804218.5937517998</v>
      </c>
      <c r="E12" s="243"/>
      <c r="F12" s="255">
        <f>'DOE25'!J205+'DOE25'!J223+'DOE25'!J241</f>
        <v>8555.4500000000007</v>
      </c>
      <c r="G12" s="53">
        <f>'DOE25'!K205+'DOE25'!K223+'DOE25'!K241</f>
        <v>75778.89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258874.81588820004</v>
      </c>
      <c r="D13" s="243"/>
      <c r="E13" s="20">
        <f>'DOE25'!L206+'DOE25'!L224+'DOE25'!L242-F13-G13</f>
        <v>258874.81588820004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3570718.0424039997</v>
      </c>
      <c r="D14" s="20">
        <f>'DOE25'!L207+'DOE25'!L225+'DOE25'!L243-F14-G14</f>
        <v>3546816.8324039998</v>
      </c>
      <c r="E14" s="243"/>
      <c r="F14" s="255">
        <f>'DOE25'!J207+'DOE25'!J225+'DOE25'!J243</f>
        <v>23901.21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2334540.6</v>
      </c>
      <c r="D15" s="20">
        <f>'DOE25'!L208+'DOE25'!L226+'DOE25'!L244-F15-G15</f>
        <v>2334540.6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7899.95</v>
      </c>
      <c r="D16" s="243"/>
      <c r="E16" s="20">
        <f>'DOE25'!L209+'DOE25'!L227+'DOE25'!L245-F16-G16</f>
        <v>7899.95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477315</v>
      </c>
      <c r="D25" s="243"/>
      <c r="E25" s="243"/>
      <c r="F25" s="258"/>
      <c r="G25" s="256"/>
      <c r="H25" s="257">
        <f>'DOE25'!L260+'DOE25'!L261+'DOE25'!L341+'DOE25'!L342</f>
        <v>477315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819878.36546</v>
      </c>
      <c r="D29" s="20">
        <f>'DOE25'!L358+'DOE25'!L359+'DOE25'!L360-'DOE25'!I367-F29-G29</f>
        <v>812216.23546</v>
      </c>
      <c r="E29" s="243"/>
      <c r="F29" s="255">
        <f>'DOE25'!J358+'DOE25'!J359+'DOE25'!J360</f>
        <v>6667.41</v>
      </c>
      <c r="G29" s="53">
        <f>'DOE25'!K358+'DOE25'!K359+'DOE25'!K360</f>
        <v>994.72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1237622.1375000002</v>
      </c>
      <c r="D31" s="20">
        <f>'DOE25'!L290+'DOE25'!L309+'DOE25'!L328+'DOE25'!L333+'DOE25'!L334+'DOE25'!L335-F31-G31</f>
        <v>1125941.5675000004</v>
      </c>
      <c r="E31" s="243"/>
      <c r="F31" s="255">
        <f>'DOE25'!J290+'DOE25'!J309+'DOE25'!J328+'DOE25'!J333+'DOE25'!J334+'DOE25'!J335</f>
        <v>77395.67</v>
      </c>
      <c r="G31" s="53">
        <f>'DOE25'!K290+'DOE25'!K309+'DOE25'!K328+'DOE25'!K333+'DOE25'!K334+'DOE25'!K335</f>
        <v>34284.9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40384524.102318563</v>
      </c>
      <c r="E33" s="246">
        <f>SUM(E5:E31)</f>
        <v>1556450.1251782002</v>
      </c>
      <c r="F33" s="246">
        <f>SUM(F5:F31)</f>
        <v>761976.58000000007</v>
      </c>
      <c r="G33" s="246">
        <f>SUM(G5:G31)</f>
        <v>201936.652</v>
      </c>
      <c r="H33" s="246">
        <f>SUM(H5:H31)</f>
        <v>477315</v>
      </c>
    </row>
    <row r="35" spans="2:8" ht="12" thickBot="1" x14ac:dyDescent="0.25">
      <c r="B35" s="253" t="s">
        <v>847</v>
      </c>
      <c r="D35" s="254">
        <f>E33</f>
        <v>1556450.1251782002</v>
      </c>
      <c r="E35" s="249"/>
    </row>
    <row r="36" spans="2:8" ht="12" thickTop="1" x14ac:dyDescent="0.2">
      <c r="B36" t="s">
        <v>815</v>
      </c>
      <c r="D36" s="20">
        <f>D33</f>
        <v>40384524.102318563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 Vall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1978745.2300000002</v>
      </c>
      <c r="D8" s="95">
        <f>'DOE25'!G9</f>
        <v>37858.82</v>
      </c>
      <c r="E8" s="95">
        <f>'DOE25'!H9</f>
        <v>0</v>
      </c>
      <c r="F8" s="95">
        <f>'DOE25'!I9</f>
        <v>0</v>
      </c>
      <c r="G8" s="95">
        <f>'DOE25'!J9</f>
        <v>16062.13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5811.82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1063066.19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451617.72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30691.16</v>
      </c>
      <c r="E12" s="95">
        <f>'DOE25'!H13</f>
        <v>309337.19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154577.81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347112.37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2937864.9500000007</v>
      </c>
      <c r="D18" s="41">
        <f>SUM(D8:D17)</f>
        <v>68549.98</v>
      </c>
      <c r="E18" s="41">
        <f>SUM(E8:E17)</f>
        <v>309337.19</v>
      </c>
      <c r="F18" s="41">
        <f>SUM(F8:F17)</f>
        <v>0</v>
      </c>
      <c r="G18" s="41">
        <f>SUM(G8:G17)</f>
        <v>1079128.3199999998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180632.03999999998</v>
      </c>
      <c r="D21" s="95">
        <f>'DOE25'!G22</f>
        <v>155588.76999999999</v>
      </c>
      <c r="E21" s="95">
        <f>'DOE25'!H22</f>
        <v>296028.95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241043.83000000005</v>
      </c>
      <c r="D23" s="95">
        <f>'DOE25'!G24</f>
        <v>0</v>
      </c>
      <c r="E23" s="95">
        <f>'DOE25'!H24</f>
        <v>13308.24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22848.25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444524.12</v>
      </c>
      <c r="D31" s="41">
        <f>SUM(D21:D30)</f>
        <v>155588.76999999999</v>
      </c>
      <c r="E31" s="41">
        <f>SUM(E21:E30)</f>
        <v>309337.19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347112.37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-87038.79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1079128.32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1031708.71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714519.75000000047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2493340.8300000005</v>
      </c>
      <c r="D50" s="41">
        <f>SUM(D34:D49)</f>
        <v>-87038.79</v>
      </c>
      <c r="E50" s="41">
        <f>SUM(E34:E49)</f>
        <v>0</v>
      </c>
      <c r="F50" s="41">
        <f>SUM(F34:F49)</f>
        <v>0</v>
      </c>
      <c r="G50" s="41">
        <f>SUM(G34:G49)</f>
        <v>1079128.32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2937864.9500000007</v>
      </c>
      <c r="D51" s="41">
        <f>D50+D31</f>
        <v>68549.98</v>
      </c>
      <c r="E51" s="41">
        <f>E50+E31</f>
        <v>309337.19</v>
      </c>
      <c r="F51" s="41">
        <f>F50+F31</f>
        <v>0</v>
      </c>
      <c r="G51" s="41">
        <f>G50+G31</f>
        <v>1079128.32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27759023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195234.44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5356.87</v>
      </c>
      <c r="D59" s="95">
        <f>'DOE25'!G96</f>
        <v>43.15</v>
      </c>
      <c r="E59" s="95">
        <f>'DOE25'!H96</f>
        <v>0</v>
      </c>
      <c r="F59" s="95">
        <f>'DOE25'!I96</f>
        <v>0</v>
      </c>
      <c r="G59" s="95">
        <f>'DOE25'!J96</f>
        <v>79.28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495749.33999999997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776985.98</v>
      </c>
      <c r="D61" s="95">
        <f>SUM('DOE25'!G98:G110)</f>
        <v>20386</v>
      </c>
      <c r="E61" s="95">
        <f>SUM('DOE25'!H98:H110)</f>
        <v>0</v>
      </c>
      <c r="F61" s="95">
        <f>SUM('DOE25'!I98:I110)</f>
        <v>0</v>
      </c>
      <c r="G61" s="95">
        <f>SUM('DOE25'!J98:J110)</f>
        <v>1641.99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977577.29</v>
      </c>
      <c r="D62" s="130">
        <f>SUM(D57:D61)</f>
        <v>516178.49</v>
      </c>
      <c r="E62" s="130">
        <f>SUM(E57:E61)</f>
        <v>0</v>
      </c>
      <c r="F62" s="130">
        <f>SUM(F57:F61)</f>
        <v>0</v>
      </c>
      <c r="G62" s="130">
        <f>SUM(G57:G61)</f>
        <v>1721.27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28736600.289999999</v>
      </c>
      <c r="D63" s="22">
        <f>D56+D62</f>
        <v>516178.49</v>
      </c>
      <c r="E63" s="22">
        <f>E56+E62</f>
        <v>0</v>
      </c>
      <c r="F63" s="22">
        <f>F56+F62</f>
        <v>0</v>
      </c>
      <c r="G63" s="22">
        <f>G56+G62</f>
        <v>1721.27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7655821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4768688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12424509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570121.64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455542.62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23535.14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1049199.3999999999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13473708.4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528718.69000000006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392838.2</v>
      </c>
      <c r="D88" s="95">
        <f>SUM('DOE25'!G153:G161)</f>
        <v>468273.76000000007</v>
      </c>
      <c r="E88" s="95">
        <f>SUM('DOE25'!H153:H161)</f>
        <v>723003.1100000001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392838.2</v>
      </c>
      <c r="D91" s="131">
        <f>SUM(D85:D90)</f>
        <v>468273.76000000007</v>
      </c>
      <c r="E91" s="131">
        <f>SUM(E85:E90)</f>
        <v>1251721.8000000003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322609.71999999997</v>
      </c>
      <c r="E96" s="95">
        <f>'DOE25'!H179</f>
        <v>0</v>
      </c>
      <c r="F96" s="95">
        <f>'DOE25'!I179</f>
        <v>0</v>
      </c>
      <c r="G96" s="95">
        <f>'DOE25'!J179</f>
        <v>300000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220000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220000</v>
      </c>
      <c r="D103" s="86">
        <f>SUM(D93:D102)</f>
        <v>322609.71999999997</v>
      </c>
      <c r="E103" s="86">
        <f>SUM(E93:E102)</f>
        <v>0</v>
      </c>
      <c r="F103" s="86">
        <f>SUM(F93:F102)</f>
        <v>0</v>
      </c>
      <c r="G103" s="86">
        <f>SUM(G93:G102)</f>
        <v>300000</v>
      </c>
    </row>
    <row r="104" spans="1:7" ht="12.75" thickTop="1" thickBot="1" x14ac:dyDescent="0.25">
      <c r="A104" s="33" t="s">
        <v>765</v>
      </c>
      <c r="C104" s="86">
        <f>C63+C81+C91+C103</f>
        <v>42823146.890000001</v>
      </c>
      <c r="D104" s="86">
        <f>D63+D81+D91+D103</f>
        <v>1307061.97</v>
      </c>
      <c r="E104" s="86">
        <f>E63+E81+E91+E103</f>
        <v>1251721.8000000003</v>
      </c>
      <c r="F104" s="86">
        <f>F63+F81+F91+F103</f>
        <v>0</v>
      </c>
      <c r="G104" s="86">
        <f>G63+G81+G103</f>
        <v>301721.27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15539014.438385399</v>
      </c>
      <c r="D109" s="24" t="s">
        <v>289</v>
      </c>
      <c r="E109" s="95">
        <f>('DOE25'!L276)+('DOE25'!L295)+('DOE25'!L314)</f>
        <v>452337.32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9669038.8531958014</v>
      </c>
      <c r="D110" s="24" t="s">
        <v>289</v>
      </c>
      <c r="E110" s="95">
        <f>('DOE25'!L277)+('DOE25'!L296)+('DOE25'!L315)</f>
        <v>466773.82000000007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985867.94718859997</v>
      </c>
      <c r="D111" s="24" t="s">
        <v>289</v>
      </c>
      <c r="E111" s="95">
        <f>('DOE25'!L278)+('DOE25'!L297)+('DOE25'!L316)</f>
        <v>77363.850000000006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858140.21541239996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27052061.4541822</v>
      </c>
      <c r="D115" s="86">
        <f>SUM(D109:D114)</f>
        <v>0</v>
      </c>
      <c r="E115" s="86">
        <f>SUM(E109:E114)</f>
        <v>996474.99000000011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1884616.3599214</v>
      </c>
      <c r="D118" s="24" t="s">
        <v>289</v>
      </c>
      <c r="E118" s="95">
        <f>+('DOE25'!L281)+('DOE25'!L300)+('DOE25'!L319)</f>
        <v>27354.719999999998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935365.56909916003</v>
      </c>
      <c r="D119" s="24" t="s">
        <v>289</v>
      </c>
      <c r="E119" s="95">
        <f>+('DOE25'!L282)+('DOE25'!L301)+('DOE25'!L320)</f>
        <v>179458.10749999998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1890110.23129</v>
      </c>
      <c r="D120" s="24" t="s">
        <v>289</v>
      </c>
      <c r="E120" s="95">
        <f>+('DOE25'!L283)+('DOE25'!L302)+('DOE25'!L321)</f>
        <v>240.85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2888552.9337518001</v>
      </c>
      <c r="D121" s="24" t="s">
        <v>289</v>
      </c>
      <c r="E121" s="95">
        <f>+('DOE25'!L284)+('DOE25'!L303)+('DOE25'!L322)</f>
        <v>26970.420000000002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258874.81588820004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3570718.0424039997</v>
      </c>
      <c r="D123" s="24" t="s">
        <v>289</v>
      </c>
      <c r="E123" s="95">
        <f>+('DOE25'!L286)+('DOE25'!L305)+('DOE25'!L324)</f>
        <v>7123.05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2334540.6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7899.95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1295799.1954600001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13770678.502354559</v>
      </c>
      <c r="D128" s="86">
        <f>SUM(D118:D127)</f>
        <v>1295799.1954600001</v>
      </c>
      <c r="E128" s="86">
        <f>SUM(E118:E127)</f>
        <v>241147.14749999999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360000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117315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14099.66</v>
      </c>
      <c r="F134" s="95">
        <f>'DOE25'!K381</f>
        <v>0</v>
      </c>
      <c r="G134" s="95">
        <f>'DOE25'!K434</f>
        <v>220000</v>
      </c>
    </row>
    <row r="135" spans="1:7" x14ac:dyDescent="0.2">
      <c r="A135" t="s">
        <v>233</v>
      </c>
      <c r="B135" s="32" t="s">
        <v>234</v>
      </c>
      <c r="C135" s="95">
        <f>'DOE25'!L263</f>
        <v>322609.71999999997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301721.27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-1721.2700000000186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1099924.72</v>
      </c>
      <c r="D144" s="141">
        <f>SUM(D130:D143)</f>
        <v>0</v>
      </c>
      <c r="E144" s="141">
        <f>SUM(E130:E143)</f>
        <v>14099.66</v>
      </c>
      <c r="F144" s="141">
        <f>SUM(F130:F143)</f>
        <v>0</v>
      </c>
      <c r="G144" s="141">
        <f>SUM(G130:G143)</f>
        <v>220000</v>
      </c>
    </row>
    <row r="145" spans="1:9" ht="12.75" thickTop="1" thickBot="1" x14ac:dyDescent="0.25">
      <c r="A145" s="33" t="s">
        <v>244</v>
      </c>
      <c r="C145" s="86">
        <f>(C115+C128+C144)</f>
        <v>41922664.676536754</v>
      </c>
      <c r="D145" s="86">
        <f>(D115+D128+D144)</f>
        <v>1295799.1954600001</v>
      </c>
      <c r="E145" s="86">
        <f>(E115+E128+E144)</f>
        <v>1251721.7975000001</v>
      </c>
      <c r="F145" s="86">
        <f>(F115+F128+F144)</f>
        <v>0</v>
      </c>
      <c r="G145" s="86">
        <f>(G115+G128+G144)</f>
        <v>220000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0/15/2013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02/25/2023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3575000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1.6918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3215000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3215000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360000</v>
      </c>
    </row>
    <row r="159" spans="1:9" x14ac:dyDescent="0.2">
      <c r="A159" s="22" t="s">
        <v>35</v>
      </c>
      <c r="B159" s="137">
        <f>'DOE25'!F498</f>
        <v>2855000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2855000</v>
      </c>
    </row>
    <row r="160" spans="1:9" x14ac:dyDescent="0.2">
      <c r="A160" s="22" t="s">
        <v>36</v>
      </c>
      <c r="B160" s="137">
        <f>'DOE25'!F499</f>
        <v>53411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53411</v>
      </c>
    </row>
    <row r="161" spans="1:7" x14ac:dyDescent="0.2">
      <c r="A161" s="22" t="s">
        <v>37</v>
      </c>
      <c r="B161" s="137">
        <f>'DOE25'!F500</f>
        <v>2908411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2908411</v>
      </c>
    </row>
    <row r="162" spans="1:7" x14ac:dyDescent="0.2">
      <c r="A162" s="22" t="s">
        <v>38</v>
      </c>
      <c r="B162" s="137">
        <f>'DOE25'!F501</f>
        <v>360000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360000</v>
      </c>
    </row>
    <row r="163" spans="1:7" x14ac:dyDescent="0.2">
      <c r="A163" s="22" t="s">
        <v>39</v>
      </c>
      <c r="B163" s="137">
        <f>'DOE25'!F502</f>
        <v>109755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109755</v>
      </c>
    </row>
    <row r="164" spans="1:7" x14ac:dyDescent="0.2">
      <c r="A164" s="22" t="s">
        <v>246</v>
      </c>
      <c r="B164" s="137">
        <f>'DOE25'!F503</f>
        <v>469755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469755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Con Vall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17998</v>
      </c>
    </row>
    <row r="5" spans="1:4" x14ac:dyDescent="0.2">
      <c r="B5" t="s">
        <v>704</v>
      </c>
      <c r="C5" s="179">
        <f>IF('DOE25'!G665+'DOE25'!G670=0,0,ROUND('DOE25'!G672,0))</f>
        <v>17490</v>
      </c>
    </row>
    <row r="6" spans="1:4" x14ac:dyDescent="0.2">
      <c r="B6" t="s">
        <v>62</v>
      </c>
      <c r="C6" s="179">
        <f>IF('DOE25'!H665+'DOE25'!H670=0,0,ROUND('DOE25'!H672,0))</f>
        <v>15711</v>
      </c>
    </row>
    <row r="7" spans="1:4" x14ac:dyDescent="0.2">
      <c r="B7" t="s">
        <v>705</v>
      </c>
      <c r="C7" s="179">
        <f>IF('DOE25'!I665+'DOE25'!I670=0,0,ROUND('DOE25'!I672,0))</f>
        <v>17023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15991352</v>
      </c>
      <c r="D10" s="182">
        <f>ROUND((C10/$C$28)*100,1)</f>
        <v>37.200000000000003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10135813</v>
      </c>
      <c r="D11" s="182">
        <f>ROUND((C11/$C$28)*100,1)</f>
        <v>23.6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1063232</v>
      </c>
      <c r="D12" s="182">
        <f>ROUND((C12/$C$28)*100,1)</f>
        <v>2.5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858140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1911971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1114824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1898251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2915523</v>
      </c>
      <c r="D18" s="182">
        <f t="shared" si="0"/>
        <v>6.8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258875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3577841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2334541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117315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779663.66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42957341.659999996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42957341.659999996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360000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27759023</v>
      </c>
      <c r="D35" s="182">
        <f t="shared" ref="D35:D40" si="1">ROUND((C35/$C$41)*100,1)</f>
        <v>62.6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979341.71000000089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12424509</v>
      </c>
      <c r="D37" s="182">
        <f t="shared" si="1"/>
        <v>28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1049199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2112834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44324906.710000001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Con Vall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</v>
      </c>
      <c r="B4" s="219">
        <v>9</v>
      </c>
      <c r="C4" s="284" t="s">
        <v>911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>
        <v>110</v>
      </c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913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2015-09-28T12:56:58Z</cp:lastPrinted>
  <dcterms:created xsi:type="dcterms:W3CDTF">1997-12-04T19:04:30Z</dcterms:created>
  <dcterms:modified xsi:type="dcterms:W3CDTF">2015-11-25T15:23:50Z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