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1" i="12" l="1"/>
  <c r="C21" i="12"/>
  <c r="C22" i="12" s="1"/>
  <c r="C12" i="12"/>
  <c r="B12" i="12"/>
  <c r="C11" i="12"/>
  <c r="C13" i="12" s="1"/>
  <c r="B11" i="12"/>
  <c r="B13" i="12" s="1"/>
  <c r="J604" i="1"/>
  <c r="F502" i="1"/>
  <c r="G439" i="1"/>
  <c r="G446" i="1" s="1"/>
  <c r="G233" i="1"/>
  <c r="F233" i="1"/>
  <c r="G215" i="1"/>
  <c r="F215" i="1"/>
  <c r="G197" i="1"/>
  <c r="F197" i="1"/>
  <c r="F50" i="1"/>
  <c r="F51" i="1" s="1"/>
  <c r="F9" i="1"/>
  <c r="C45" i="2"/>
  <c r="G51" i="1"/>
  <c r="G623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7" i="10" s="1"/>
  <c r="L227" i="1"/>
  <c r="L245" i="1"/>
  <c r="F5" i="13"/>
  <c r="G5" i="13"/>
  <c r="L198" i="1"/>
  <c r="L199" i="1"/>
  <c r="L200" i="1"/>
  <c r="L216" i="1"/>
  <c r="L217" i="1"/>
  <c r="L218" i="1"/>
  <c r="C112" i="2" s="1"/>
  <c r="L234" i="1"/>
  <c r="C11" i="10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38" i="1"/>
  <c r="J352" i="1" s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E122" i="2" s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E125" i="2" s="1"/>
  <c r="L333" i="1"/>
  <c r="L334" i="1"/>
  <c r="L335" i="1"/>
  <c r="L260" i="1"/>
  <c r="L261" i="1"/>
  <c r="C25" i="10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18" i="12"/>
  <c r="B22" i="12"/>
  <c r="C18" i="12"/>
  <c r="B1" i="12"/>
  <c r="L387" i="1"/>
  <c r="L388" i="1"/>
  <c r="L389" i="1"/>
  <c r="L393" i="1" s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7" i="1" s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L611" i="1"/>
  <c r="F663" i="1"/>
  <c r="C40" i="10"/>
  <c r="F60" i="1"/>
  <c r="C56" i="2" s="1"/>
  <c r="G60" i="1"/>
  <c r="H60" i="1"/>
  <c r="I60" i="1"/>
  <c r="F79" i="1"/>
  <c r="F94" i="1"/>
  <c r="C58" i="2"/>
  <c r="F111" i="1"/>
  <c r="F112" i="1" s="1"/>
  <c r="G111" i="1"/>
  <c r="G112" i="1" s="1"/>
  <c r="H79" i="1"/>
  <c r="H94" i="1"/>
  <c r="H111" i="1"/>
  <c r="H112" i="1" s="1"/>
  <c r="H193" i="1" s="1"/>
  <c r="G629" i="1" s="1"/>
  <c r="J629" i="1" s="1"/>
  <c r="I111" i="1"/>
  <c r="J111" i="1"/>
  <c r="J112" i="1" s="1"/>
  <c r="J193" i="1" s="1"/>
  <c r="F121" i="1"/>
  <c r="F136" i="1"/>
  <c r="G121" i="1"/>
  <c r="G136" i="1"/>
  <c r="H121" i="1"/>
  <c r="H136" i="1"/>
  <c r="H140" i="1"/>
  <c r="I121" i="1"/>
  <c r="I136" i="1"/>
  <c r="I140" i="1" s="1"/>
  <c r="J121" i="1"/>
  <c r="J140" i="1" s="1"/>
  <c r="J136" i="1"/>
  <c r="F147" i="1"/>
  <c r="F162" i="1"/>
  <c r="F169" i="1" s="1"/>
  <c r="G147" i="1"/>
  <c r="G162" i="1"/>
  <c r="H147" i="1"/>
  <c r="H169" i="1" s="1"/>
  <c r="H162" i="1"/>
  <c r="I147" i="1"/>
  <c r="I162" i="1"/>
  <c r="C19" i="10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L523" i="1"/>
  <c r="F551" i="1" s="1"/>
  <c r="L526" i="1"/>
  <c r="G549" i="1"/>
  <c r="L527" i="1"/>
  <c r="G550" i="1" s="1"/>
  <c r="L528" i="1"/>
  <c r="G551" i="1" s="1"/>
  <c r="L531" i="1"/>
  <c r="H549" i="1" s="1"/>
  <c r="H552" i="1" s="1"/>
  <c r="L532" i="1"/>
  <c r="H550" i="1"/>
  <c r="L533" i="1"/>
  <c r="H551" i="1" s="1"/>
  <c r="L536" i="1"/>
  <c r="I549" i="1" s="1"/>
  <c r="I552" i="1" s="1"/>
  <c r="L537" i="1"/>
  <c r="I550" i="1" s="1"/>
  <c r="L538" i="1"/>
  <c r="I551" i="1"/>
  <c r="L541" i="1"/>
  <c r="J549" i="1" s="1"/>
  <c r="L542" i="1"/>
  <c r="L543" i="1"/>
  <c r="J551" i="1" s="1"/>
  <c r="E132" i="2"/>
  <c r="E131" i="2"/>
  <c r="K270" i="1"/>
  <c r="J270" i="1"/>
  <c r="I270" i="1"/>
  <c r="H270" i="1"/>
  <c r="G270" i="1"/>
  <c r="F270" i="1"/>
  <c r="L270" i="1" s="1"/>
  <c r="C131" i="2"/>
  <c r="A1" i="2"/>
  <c r="A2" i="2"/>
  <c r="C8" i="2"/>
  <c r="C18" i="2" s="1"/>
  <c r="D8" i="2"/>
  <c r="E8" i="2"/>
  <c r="F8" i="2"/>
  <c r="I439" i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/>
  <c r="C23" i="2"/>
  <c r="D23" i="2"/>
  <c r="E23" i="2"/>
  <c r="F23" i="2"/>
  <c r="I450" i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C31" i="2" s="1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/>
  <c r="G42" i="2" s="1"/>
  <c r="I457" i="1"/>
  <c r="J37" i="1" s="1"/>
  <c r="I459" i="1"/>
  <c r="J48" i="1"/>
  <c r="C49" i="2"/>
  <c r="D56" i="2"/>
  <c r="E56" i="2"/>
  <c r="E57" i="2"/>
  <c r="E58" i="2"/>
  <c r="C59" i="2"/>
  <c r="D59" i="2"/>
  <c r="E59" i="2"/>
  <c r="F59" i="2"/>
  <c r="F62" i="2" s="1"/>
  <c r="D60" i="2"/>
  <c r="C61" i="2"/>
  <c r="D61" i="2"/>
  <c r="E61" i="2"/>
  <c r="F61" i="2"/>
  <c r="C66" i="2"/>
  <c r="C67" i="2"/>
  <c r="C69" i="2"/>
  <c r="D69" i="2"/>
  <c r="D70" i="2"/>
  <c r="E69" i="2"/>
  <c r="E70" i="2" s="1"/>
  <c r="F69" i="2"/>
  <c r="F70" i="2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E78" i="2" s="1"/>
  <c r="E81" i="2" s="1"/>
  <c r="F77" i="2"/>
  <c r="G77" i="2"/>
  <c r="G78" i="2"/>
  <c r="G81" i="2"/>
  <c r="C79" i="2"/>
  <c r="D79" i="2"/>
  <c r="E79" i="2"/>
  <c r="C80" i="2"/>
  <c r="E80" i="2"/>
  <c r="C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E113" i="2"/>
  <c r="C114" i="2"/>
  <c r="D115" i="2"/>
  <c r="F115" i="2"/>
  <c r="G115" i="2"/>
  <c r="E120" i="2"/>
  <c r="E121" i="2"/>
  <c r="E123" i="2"/>
  <c r="F128" i="2"/>
  <c r="G128" i="2"/>
  <c r="C130" i="2"/>
  <c r="D134" i="2"/>
  <c r="D144" i="2"/>
  <c r="F134" i="2"/>
  <c r="K419" i="1"/>
  <c r="K434" i="1" s="1"/>
  <c r="G134" i="2" s="1"/>
  <c r="G144" i="2" s="1"/>
  <c r="K427" i="1"/>
  <c r="K433" i="1"/>
  <c r="L263" i="1"/>
  <c r="C135" i="2"/>
  <c r="E135" i="2"/>
  <c r="L264" i="1"/>
  <c r="C136" i="2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F159" i="2"/>
  <c r="B160" i="2"/>
  <c r="C160" i="2"/>
  <c r="D160" i="2"/>
  <c r="E160" i="2"/>
  <c r="G160" i="2" s="1"/>
  <c r="F160" i="2"/>
  <c r="F500" i="1"/>
  <c r="B161" i="2"/>
  <c r="G500" i="1"/>
  <c r="C161" i="2" s="1"/>
  <c r="H500" i="1"/>
  <c r="D161" i="2"/>
  <c r="I500" i="1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K503" i="1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 s="1"/>
  <c r="I19" i="1"/>
  <c r="G620" i="1" s="1"/>
  <c r="J620" i="1" s="1"/>
  <c r="F32" i="1"/>
  <c r="G32" i="1"/>
  <c r="H32" i="1"/>
  <c r="I32" i="1"/>
  <c r="H51" i="1"/>
  <c r="H52" i="1"/>
  <c r="H619" i="1"/>
  <c r="J619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/>
  <c r="F188" i="1"/>
  <c r="G188" i="1"/>
  <c r="H188" i="1"/>
  <c r="I188" i="1"/>
  <c r="G211" i="1"/>
  <c r="H211" i="1"/>
  <c r="I211" i="1"/>
  <c r="I257" i="1" s="1"/>
  <c r="J211" i="1"/>
  <c r="K211" i="1"/>
  <c r="F229" i="1"/>
  <c r="G229" i="1"/>
  <c r="H229" i="1"/>
  <c r="I229" i="1"/>
  <c r="J229" i="1"/>
  <c r="K229" i="1"/>
  <c r="F247" i="1"/>
  <c r="H247" i="1"/>
  <c r="I247" i="1"/>
  <c r="J247" i="1"/>
  <c r="J257" i="1" s="1"/>
  <c r="H648" i="1" s="1"/>
  <c r="K247" i="1"/>
  <c r="F256" i="1"/>
  <c r="G256" i="1"/>
  <c r="H256" i="1"/>
  <c r="H257" i="1" s="1"/>
  <c r="H271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L337" i="1" s="1"/>
  <c r="G337" i="1"/>
  <c r="H337" i="1"/>
  <c r="I337" i="1"/>
  <c r="I338" i="1" s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G434" i="1" s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J434" i="1" s="1"/>
  <c r="L429" i="1"/>
  <c r="L430" i="1"/>
  <c r="L431" i="1"/>
  <c r="L432" i="1"/>
  <c r="L433" i="1" s="1"/>
  <c r="F433" i="1"/>
  <c r="G433" i="1"/>
  <c r="H433" i="1"/>
  <c r="I433" i="1"/>
  <c r="I434" i="1" s="1"/>
  <c r="J433" i="1"/>
  <c r="F446" i="1"/>
  <c r="G640" i="1"/>
  <c r="H446" i="1"/>
  <c r="G641" i="1" s="1"/>
  <c r="F452" i="1"/>
  <c r="G452" i="1"/>
  <c r="H452" i="1"/>
  <c r="H461" i="1" s="1"/>
  <c r="F460" i="1"/>
  <c r="F461" i="1" s="1"/>
  <c r="H639" i="1" s="1"/>
  <c r="J639" i="1" s="1"/>
  <c r="G460" i="1"/>
  <c r="G461" i="1" s="1"/>
  <c r="H640" i="1" s="1"/>
  <c r="J640" i="1" s="1"/>
  <c r="H460" i="1"/>
  <c r="H641" i="1"/>
  <c r="F470" i="1"/>
  <c r="G470" i="1"/>
  <c r="H470" i="1"/>
  <c r="H476" i="1" s="1"/>
  <c r="I470" i="1"/>
  <c r="J470" i="1"/>
  <c r="F474" i="1"/>
  <c r="F476" i="1" s="1"/>
  <c r="H622" i="1" s="1"/>
  <c r="G474" i="1"/>
  <c r="H474" i="1"/>
  <c r="I474" i="1"/>
  <c r="I476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F544" i="1"/>
  <c r="F545" i="1" s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 s="1"/>
  <c r="J598" i="1"/>
  <c r="H651" i="1"/>
  <c r="K602" i="1"/>
  <c r="K603" i="1"/>
  <c r="K604" i="1"/>
  <c r="K605" i="1" s="1"/>
  <c r="G648" i="1" s="1"/>
  <c r="J648" i="1" s="1"/>
  <c r="H605" i="1"/>
  <c r="I605" i="1"/>
  <c r="J605" i="1"/>
  <c r="F614" i="1"/>
  <c r="G614" i="1"/>
  <c r="H614" i="1"/>
  <c r="I614" i="1"/>
  <c r="J614" i="1"/>
  <c r="K614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3" i="1"/>
  <c r="H643" i="1"/>
  <c r="G644" i="1"/>
  <c r="G645" i="1"/>
  <c r="G651" i="1"/>
  <c r="J651" i="1" s="1"/>
  <c r="G652" i="1"/>
  <c r="J652" i="1" s="1"/>
  <c r="H652" i="1"/>
  <c r="G653" i="1"/>
  <c r="H653" i="1"/>
  <c r="G654" i="1"/>
  <c r="J654" i="1" s="1"/>
  <c r="H654" i="1"/>
  <c r="H655" i="1"/>
  <c r="J655" i="1"/>
  <c r="L256" i="1"/>
  <c r="D62" i="2"/>
  <c r="D63" i="2"/>
  <c r="D17" i="13"/>
  <c r="C17" i="13" s="1"/>
  <c r="C91" i="2"/>
  <c r="F78" i="2"/>
  <c r="F81" i="2" s="1"/>
  <c r="G157" i="2"/>
  <c r="F18" i="2"/>
  <c r="G62" i="2"/>
  <c r="E13" i="13"/>
  <c r="C13" i="13" s="1"/>
  <c r="K571" i="1"/>
  <c r="I169" i="1"/>
  <c r="J643" i="1"/>
  <c r="H625" i="1"/>
  <c r="F571" i="1"/>
  <c r="G22" i="2"/>
  <c r="F22" i="13"/>
  <c r="C22" i="13" s="1"/>
  <c r="G192" i="1"/>
  <c r="G36" i="2"/>
  <c r="G159" i="2"/>
  <c r="G103" i="2"/>
  <c r="F91" i="2"/>
  <c r="E50" i="2"/>
  <c r="F50" i="2"/>
  <c r="C140" i="2"/>
  <c r="J653" i="1"/>
  <c r="G140" i="1"/>
  <c r="H434" i="1"/>
  <c r="G571" i="1"/>
  <c r="A40" i="12"/>
  <c r="G552" i="1"/>
  <c r="J476" i="1"/>
  <c r="H626" i="1" s="1"/>
  <c r="H624" i="1"/>
  <c r="G47" i="2"/>
  <c r="G21" i="2"/>
  <c r="H408" i="1"/>
  <c r="H644" i="1"/>
  <c r="J644" i="1" s="1"/>
  <c r="F661" i="1"/>
  <c r="H661" i="1"/>
  <c r="F338" i="1"/>
  <c r="F352" i="1" s="1"/>
  <c r="G338" i="1"/>
  <c r="G352" i="1" s="1"/>
  <c r="E118" i="2"/>
  <c r="F31" i="13"/>
  <c r="I352" i="1"/>
  <c r="H338" i="1"/>
  <c r="H352" i="1"/>
  <c r="E109" i="2"/>
  <c r="H25" i="13"/>
  <c r="H33" i="13" s="1"/>
  <c r="C132" i="2"/>
  <c r="E16" i="13"/>
  <c r="C16" i="13" s="1"/>
  <c r="C18" i="10"/>
  <c r="C120" i="2"/>
  <c r="C119" i="2"/>
  <c r="G650" i="1"/>
  <c r="J650" i="1"/>
  <c r="D7" i="13"/>
  <c r="C7" i="13" s="1"/>
  <c r="C16" i="10"/>
  <c r="K257" i="1"/>
  <c r="K271" i="1" s="1"/>
  <c r="I271" i="1"/>
  <c r="C110" i="2"/>
  <c r="F33" i="13"/>
  <c r="J271" i="1"/>
  <c r="C124" i="2"/>
  <c r="G649" i="1"/>
  <c r="J649" i="1" s="1"/>
  <c r="H647" i="1"/>
  <c r="F662" i="1"/>
  <c r="D14" i="13"/>
  <c r="C14" i="13"/>
  <c r="D12" i="13"/>
  <c r="C12" i="13" s="1"/>
  <c r="E8" i="13"/>
  <c r="E33" i="13" s="1"/>
  <c r="D35" i="13" s="1"/>
  <c r="C15" i="10"/>
  <c r="C103" i="2"/>
  <c r="F140" i="1"/>
  <c r="C38" i="10"/>
  <c r="C70" i="2"/>
  <c r="C57" i="2"/>
  <c r="C62" i="2"/>
  <c r="C63" i="2"/>
  <c r="D31" i="2"/>
  <c r="C8" i="13" l="1"/>
  <c r="F193" i="1"/>
  <c r="G627" i="1" s="1"/>
  <c r="J627" i="1" s="1"/>
  <c r="G631" i="1"/>
  <c r="J631" i="1" s="1"/>
  <c r="G646" i="1"/>
  <c r="J624" i="1"/>
  <c r="F192" i="1"/>
  <c r="E62" i="2"/>
  <c r="E18" i="2"/>
  <c r="J9" i="1"/>
  <c r="I446" i="1"/>
  <c r="G642" i="1" s="1"/>
  <c r="L524" i="1"/>
  <c r="F550" i="1"/>
  <c r="K550" i="1" s="1"/>
  <c r="G169" i="1"/>
  <c r="D85" i="2"/>
  <c r="D91" i="2" s="1"/>
  <c r="F56" i="2"/>
  <c r="F63" i="2" s="1"/>
  <c r="I112" i="1"/>
  <c r="I193" i="1" s="1"/>
  <c r="G630" i="1" s="1"/>
  <c r="J630" i="1" s="1"/>
  <c r="J623" i="1"/>
  <c r="L197" i="1"/>
  <c r="D5" i="13" s="1"/>
  <c r="F211" i="1"/>
  <c r="F257" i="1" s="1"/>
  <c r="F271" i="1" s="1"/>
  <c r="B9" i="12"/>
  <c r="A13" i="12" s="1"/>
  <c r="C13" i="10"/>
  <c r="C125" i="2"/>
  <c r="I545" i="1"/>
  <c r="J641" i="1"/>
  <c r="G52" i="1"/>
  <c r="H618" i="1" s="1"/>
  <c r="J618" i="1" s="1"/>
  <c r="L544" i="1"/>
  <c r="J550" i="1"/>
  <c r="K549" i="1"/>
  <c r="K552" i="1" s="1"/>
  <c r="C141" i="2"/>
  <c r="C144" i="2" s="1"/>
  <c r="L328" i="1"/>
  <c r="L309" i="1"/>
  <c r="L290" i="1"/>
  <c r="E110" i="2"/>
  <c r="E115" i="2" s="1"/>
  <c r="G31" i="13"/>
  <c r="G33" i="13" s="1"/>
  <c r="K338" i="1"/>
  <c r="K352" i="1" s="1"/>
  <c r="C118" i="2"/>
  <c r="D6" i="13"/>
  <c r="C6" i="13" s="1"/>
  <c r="G50" i="2"/>
  <c r="D104" i="2"/>
  <c r="E63" i="2"/>
  <c r="E104" i="2" s="1"/>
  <c r="D50" i="2"/>
  <c r="D51" i="2" s="1"/>
  <c r="J24" i="1"/>
  <c r="G23" i="2" s="1"/>
  <c r="I452" i="1"/>
  <c r="I461" i="1" s="1"/>
  <c r="H642" i="1" s="1"/>
  <c r="F31" i="2"/>
  <c r="F51" i="2" s="1"/>
  <c r="F130" i="2"/>
  <c r="F144" i="2" s="1"/>
  <c r="F145" i="2" s="1"/>
  <c r="L382" i="1"/>
  <c r="G636" i="1" s="1"/>
  <c r="J636" i="1" s="1"/>
  <c r="C26" i="10"/>
  <c r="C142" i="2"/>
  <c r="C111" i="2"/>
  <c r="C12" i="10"/>
  <c r="L233" i="1"/>
  <c r="L247" i="1" s="1"/>
  <c r="H660" i="1" s="1"/>
  <c r="H664" i="1" s="1"/>
  <c r="G247" i="1"/>
  <c r="G257" i="1" s="1"/>
  <c r="G271" i="1" s="1"/>
  <c r="C25" i="13"/>
  <c r="G31" i="2"/>
  <c r="C35" i="10"/>
  <c r="K598" i="1"/>
  <c r="G647" i="1" s="1"/>
  <c r="J647" i="1" s="1"/>
  <c r="L539" i="1"/>
  <c r="K545" i="1"/>
  <c r="G408" i="1"/>
  <c r="H645" i="1" s="1"/>
  <c r="J645" i="1" s="1"/>
  <c r="E161" i="2"/>
  <c r="G161" i="2" s="1"/>
  <c r="K500" i="1"/>
  <c r="E85" i="2"/>
  <c r="E91" i="2" s="1"/>
  <c r="C78" i="2"/>
  <c r="C81" i="2" s="1"/>
  <c r="C104" i="2" s="1"/>
  <c r="D18" i="2"/>
  <c r="K551" i="1"/>
  <c r="L614" i="1"/>
  <c r="G663" i="1"/>
  <c r="I663" i="1" s="1"/>
  <c r="L408" i="1"/>
  <c r="C138" i="2"/>
  <c r="L351" i="1"/>
  <c r="C32" i="10"/>
  <c r="H662" i="1"/>
  <c r="I662" i="1" s="1"/>
  <c r="E124" i="2"/>
  <c r="E128" i="2" s="1"/>
  <c r="D29" i="13"/>
  <c r="C29" i="13" s="1"/>
  <c r="L362" i="1"/>
  <c r="G661" i="1"/>
  <c r="I661" i="1" s="1"/>
  <c r="D18" i="13"/>
  <c r="C18" i="13" s="1"/>
  <c r="C24" i="10"/>
  <c r="C21" i="10"/>
  <c r="D15" i="13"/>
  <c r="C15" i="13" s="1"/>
  <c r="C20" i="10"/>
  <c r="C123" i="2"/>
  <c r="J625" i="1"/>
  <c r="H545" i="1"/>
  <c r="F434" i="1"/>
  <c r="L419" i="1"/>
  <c r="L434" i="1" s="1"/>
  <c r="G638" i="1" s="1"/>
  <c r="J638" i="1" s="1"/>
  <c r="I192" i="1"/>
  <c r="G164" i="2"/>
  <c r="G163" i="2"/>
  <c r="G156" i="2"/>
  <c r="G145" i="2"/>
  <c r="D103" i="2"/>
  <c r="E103" i="2"/>
  <c r="F103" i="2"/>
  <c r="J32" i="1"/>
  <c r="J552" i="1"/>
  <c r="G63" i="2"/>
  <c r="G104" i="2" s="1"/>
  <c r="E130" i="2"/>
  <c r="E144" i="2" s="1"/>
  <c r="C29" i="10"/>
  <c r="E114" i="2"/>
  <c r="D127" i="2"/>
  <c r="D128" i="2" s="1"/>
  <c r="D145" i="2" s="1"/>
  <c r="J571" i="1"/>
  <c r="L560" i="1"/>
  <c r="L571" i="1" s="1"/>
  <c r="J545" i="1"/>
  <c r="G476" i="1"/>
  <c r="H623" i="1" s="1"/>
  <c r="G162" i="2"/>
  <c r="J51" i="1"/>
  <c r="I460" i="1"/>
  <c r="C50" i="2"/>
  <c r="C51" i="2" s="1"/>
  <c r="E31" i="2"/>
  <c r="E51" i="2" s="1"/>
  <c r="L529" i="1"/>
  <c r="C113" i="2"/>
  <c r="C23" i="10"/>
  <c r="A22" i="12"/>
  <c r="C122" i="2"/>
  <c r="G622" i="1"/>
  <c r="J622" i="1" s="1"/>
  <c r="F52" i="1"/>
  <c r="H617" i="1" s="1"/>
  <c r="J617" i="1" s="1"/>
  <c r="C9" i="12"/>
  <c r="L215" i="1"/>
  <c r="L229" i="1" s="1"/>
  <c r="G660" i="1" s="1"/>
  <c r="C5" i="13" l="1"/>
  <c r="D33" i="13"/>
  <c r="D36" i="13" s="1"/>
  <c r="E145" i="2"/>
  <c r="J19" i="1"/>
  <c r="G621" i="1" s="1"/>
  <c r="G8" i="2"/>
  <c r="G18" i="2" s="1"/>
  <c r="C36" i="10"/>
  <c r="C41" i="10"/>
  <c r="D35" i="10" s="1"/>
  <c r="C128" i="2"/>
  <c r="L338" i="1"/>
  <c r="L352" i="1" s="1"/>
  <c r="G633" i="1" s="1"/>
  <c r="J633" i="1" s="1"/>
  <c r="D31" i="13"/>
  <c r="C31" i="13" s="1"/>
  <c r="G664" i="1"/>
  <c r="F552" i="1"/>
  <c r="G51" i="2"/>
  <c r="F104" i="2"/>
  <c r="L545" i="1"/>
  <c r="C27" i="10"/>
  <c r="G635" i="1"/>
  <c r="J635" i="1" s="1"/>
  <c r="G193" i="1"/>
  <c r="G628" i="1" s="1"/>
  <c r="J628" i="1" s="1"/>
  <c r="C39" i="10"/>
  <c r="J646" i="1"/>
  <c r="H667" i="1"/>
  <c r="H672" i="1"/>
  <c r="C6" i="10" s="1"/>
  <c r="G626" i="1"/>
  <c r="J626" i="1" s="1"/>
  <c r="J52" i="1"/>
  <c r="H621" i="1" s="1"/>
  <c r="H646" i="1"/>
  <c r="G637" i="1"/>
  <c r="J637" i="1" s="1"/>
  <c r="C10" i="10"/>
  <c r="L211" i="1"/>
  <c r="C109" i="2"/>
  <c r="C115" i="2" s="1"/>
  <c r="C145" i="2" s="1"/>
  <c r="J642" i="1"/>
  <c r="F660" i="1" l="1"/>
  <c r="L257" i="1"/>
  <c r="L271" i="1" s="1"/>
  <c r="G632" i="1" s="1"/>
  <c r="J632" i="1" s="1"/>
  <c r="G667" i="1"/>
  <c r="G672" i="1"/>
  <c r="C5" i="10" s="1"/>
  <c r="C28" i="10"/>
  <c r="D39" i="10"/>
  <c r="D37" i="10"/>
  <c r="D40" i="10"/>
  <c r="D38" i="10"/>
  <c r="J621" i="1"/>
  <c r="H656" i="1"/>
  <c r="D36" i="10"/>
  <c r="D41" i="10" s="1"/>
  <c r="C30" i="10" l="1"/>
  <c r="D18" i="10"/>
  <c r="D25" i="10"/>
  <c r="D17" i="10"/>
  <c r="D22" i="10"/>
  <c r="D19" i="10"/>
  <c r="D11" i="10"/>
  <c r="D15" i="10"/>
  <c r="D16" i="10"/>
  <c r="D13" i="10"/>
  <c r="D20" i="10"/>
  <c r="D23" i="10"/>
  <c r="D12" i="10"/>
  <c r="D21" i="10"/>
  <c r="D24" i="10"/>
  <c r="D26" i="10"/>
  <c r="D27" i="10"/>
  <c r="D10" i="10"/>
  <c r="D28" i="10" s="1"/>
  <c r="F664" i="1"/>
  <c r="I660" i="1"/>
  <c r="I664" i="1" s="1"/>
  <c r="I672" i="1" l="1"/>
  <c r="C7" i="10" s="1"/>
  <c r="I667" i="1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<sst xmlns="http://schemas.openxmlformats.org/spreadsheetml/2006/main" count="3958" uniqueCount="916">
  <si>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</si>
  <si>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</si>
  <si>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</si>
  <si>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</si>
  <si>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</si>
  <si>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</si>
  <si>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</si>
  <si>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</si>
  <si>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</si>
  <si>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</si>
  <si>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</si>
  <si>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</si>
  <si>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</si>
  <si>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</si>
  <si>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</si>
  <si>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</si>
  <si>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</si>
  <si>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</si>
  <si>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</si>
  <si>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</si>
  <si>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</si>
  <si>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</si>
  <si>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</si>
  <si>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</si>
  <si>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</si>
  <si>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</si>
  <si>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</si>
  <si>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</si>
  <si>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</si>
  <si>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</si>
  <si>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</si>
  <si>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</si>
  <si>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</si>
  <si>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</si>
  <si>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</si>
  <si>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</si>
  <si>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</si>
  <si>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</si>
  <si>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</si>
  <si>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</si>
  <si>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</si>
  <si>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</si>
  <si>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</si>
  <si>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</si>
  <si>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</si>
  <si>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</si>
  <si>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</si>
  <si>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</si>
  <si>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</si>
  <si>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</si>
  <si>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</si>
  <si>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</si>
  <si>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</si>
  <si>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</si>
  <si>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</si>
  <si>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</si>
  <si>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</si>
  <si>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</si>
  <si>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</si>
  <si>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</si>
  <si>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</si>
  <si>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</si>
  <si>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</si>
  <si>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</si>
  <si>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</si>
  <si>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</si>
  <si>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</si>
  <si>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</si>
  <si>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</si>
  <si>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</si>
  <si>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</si>
  <si>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</si>
  <si>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</si>
  <si>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</si>
  <si>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</si>
  <si>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</si>
  <si>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</si>
  <si>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</si>
  <si>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</si>
  <si>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</si>
  <si>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</si>
  <si>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</si>
  <si>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</si>
  <si>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</si>
  <si>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</si>
  <si>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</si>
  <si>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</si>
  <si>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</si>
  <si>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</si>
  <si>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</si>
  <si>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</si>
  <si>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</si>
  <si>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</si>
  <si>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</si>
  <si>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</si>
  <si>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</si>
  <si>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</si>
  <si>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</si>
  <si>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</si>
  <si>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</si>
  <si>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</si>
  <si>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</si>
  <si>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</si>
  <si>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</si>
  <si>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</si>
  <si>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</si>
  <si>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</si>
  <si>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</si>
  <si>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</si>
  <si>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</si>
  <si>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</si>
  <si>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</si>
  <si>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</si>
  <si>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</si>
  <si>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</si>
  <si>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</si>
  <si>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</si>
  <si>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</si>
  <si>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</si>
  <si>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</si>
  <si>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</si>
  <si>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</si>
  <si>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</si>
  <si>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</si>
  <si>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</si>
  <si>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</si>
  <si>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</si>
  <si>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</si>
  <si>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</si>
  <si>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</si>
  <si>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</si>
  <si>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</si>
  <si>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</si>
  <si>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</si>
  <si>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</si>
  <si>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</si>
  <si>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</si>
  <si>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</si>
  <si>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</si>
  <si>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</si>
  <si>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</si>
  <si>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</si>
  <si>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</si>
  <si>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</si>
  <si>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</si>
  <si>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</si>
  <si>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</si>
  <si>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</si>
  <si>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</si>
  <si>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</si>
  <si>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</si>
  <si>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</si>
  <si>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</si>
  <si>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</si>
  <si>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</si>
  <si>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</si>
  <si>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</si>
  <si>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</si>
  <si>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</si>
  <si>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</si>
  <si>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</si>
  <si>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</si>
  <si>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</si>
  <si>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</si>
  <si>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</si>
  <si>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</si>
  <si>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</si>
  <si>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</si>
  <si>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</si>
  <si>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</si>
  <si>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</si>
  <si>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</si>
  <si>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</si>
  <si>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</si>
  <si>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</si>
  <si>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</si>
  <si>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</si>
  <si>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</si>
  <si>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</si>
  <si>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</si>
  <si>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</si>
  <si>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</si>
  <si>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</si>
  <si>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</si>
  <si>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</si>
  <si>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</si>
  <si>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</si>
  <si>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</si>
  <si>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</si>
  <si>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</si>
  <si>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</si>
  <si>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</si>
  <si>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</si>
  <si>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</si>
  <si>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</si>
  <si>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</si>
  <si>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</si>
  <si>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</si>
  <si>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</si>
  <si>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</si>
  <si>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</si>
  <si>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</si>
  <si>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</si>
  <si>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</si>
  <si>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</si>
  <si>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</si>
  <si>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</si>
  <si>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</si>
  <si>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</si>
  <si>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</si>
  <si>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</si>
  <si>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</si>
  <si>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</si>
  <si>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</si>
  <si>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</si>
  <si>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</si>
  <si>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</si>
  <si>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</si>
  <si>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</si>
  <si>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</si>
  <si>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</si>
  <si>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</si>
  <si>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</si>
  <si>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</si>
  <si>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</si>
  <si>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</si>
  <si>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</si>
  <si>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</si>
  <si>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</si>
  <si>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</si>
  <si>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</si>
  <si>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</si>
  <si>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</si>
  <si>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</si>
  <si>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</si>
  <si>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</si>
  <si>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</si>
  <si>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</si>
  <si>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</si>
  <si>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</si>
  <si>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</si>
  <si>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</si>
  <si>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</si>
  <si>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</si>
  <si>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</si>
  <si>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</si>
  <si>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</si>
  <si>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</si>
  <si>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</si>
  <si>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</si>
  <si>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</si>
  <si>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</si>
  <si>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</si>
  <si>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</si>
  <si>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</si>
  <si>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</si>
  <si>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</si>
  <si>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</si>
  <si>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</si>
  <si>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</si>
  <si>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</si>
  <si>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</si>
  <si>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</si>
  <si>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</si>
  <si>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</si>
  <si>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</si>
  <si>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</si>
  <si>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</si>
  <si>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</si>
  <si>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</si>
  <si>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</si>
  <si>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</si>
  <si>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</si>
  <si>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</si>
  <si>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</si>
  <si>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</si>
  <si>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</si>
  <si>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</si>
  <si>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</si>
  <si>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</si>
  <si>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</si>
  <si>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</si>
  <si>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</si>
  <si>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</si>
  <si>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</si>
  <si>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</si>
  <si>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</si>
  <si>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</si>
  <si>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</si>
  <si>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</si>
  <si>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</si>
  <si>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</si>
  <si>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</si>
  <si>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</si>
  <si>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</si>
  <si>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</si>
  <si>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</si>
  <si>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</si>
  <si>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</si>
  <si>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</si>
  <si>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</si>
  <si>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</si>
  <si>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</si>
  <si>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</si>
  <si>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</si>
  <si>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</si>
  <si>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</si>
  <si>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</si>
  <si>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</si>
  <si>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</si>
  <si>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</si>
  <si>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</si>
  <si>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</si>
  <si>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</si>
  <si>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</si>
  <si>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</si>
  <si>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</si>
  <si>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</si>
  <si>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</si>
  <si>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</si>
  <si>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</si>
  <si>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</si>
  <si>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</si>
  <si>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</si>
  <si>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</si>
  <si>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</si>
  <si>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</si>
  <si>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</si>
  <si>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</si>
  <si>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</si>
  <si>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</si>
  <si>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</si>
  <si>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</si>
  <si>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</si>
  <si>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</si>
  <si>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</si>
  <si>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</si>
  <si>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</si>
  <si>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</si>
  <si>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</si>
  <si>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</si>
  <si>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</si>
  <si>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</si>
  <si>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</si>
  <si>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</si>
  <si>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</si>
  <si>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</si>
  <si>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</si>
  <si>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</si>
  <si>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</si>
  <si>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</si>
  <si>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</si>
  <si>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</si>
  <si>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</si>
  <si>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</si>
  <si>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</si>
  <si>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</si>
  <si>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</si>
  <si>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</si>
  <si>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</si>
  <si>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</si>
  <si>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</si>
  <si>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</si>
  <si>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</si>
  <si>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</si>
  <si>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</si>
  <si>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</si>
  <si>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</si>
  <si>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</si>
  <si>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</si>
  <si>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</si>
  <si>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</si>
  <si>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</si>
  <si>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</si>
  <si>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</si>
  <si>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</si>
  <si>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</si>
  <si>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</si>
  <si>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</si>
  <si>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</si>
  <si>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</si>
  <si>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</si>
  <si>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</si>
  <si>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</si>
  <si>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</si>
  <si>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</si>
  <si>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</si>
  <si>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</si>
  <si>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</si>
  <si>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</si>
  <si>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</si>
  <si>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</si>
  <si>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</si>
  <si>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</si>
  <si>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</si>
  <si>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</si>
  <si>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</si>
  <si>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</si>
  <si>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</si>
  <si>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</si>
  <si>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</si>
  <si>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</si>
  <si>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</si>
  <si>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</si>
  <si>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</si>
  <si>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</si>
  <si>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</si>
  <si>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</si>
  <si>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</si>
  <si>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</si>
  <si>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</si>
  <si>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</si>
  <si>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</si>
  <si>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</si>
  <si>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</si>
  <si>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</si>
  <si>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</si>
  <si>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</si>
  <si>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</si>
  <si>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</si>
  <si>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</si>
  <si>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</si>
  <si>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</si>
  <si>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</si>
  <si>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</si>
  <si>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</si>
  <si>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</si>
  <si>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</si>
  <si>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</si>
  <si>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</si>
  <si>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</si>
  <si>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</si>
  <si>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</si>
  <si>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</si>
  <si>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</si>
  <si>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</si>
  <si>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</si>
  <si>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</si>
  <si>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</si>
  <si>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</si>
  <si>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</si>
  <si>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</si>
  <si>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</si>
  <si>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</si>
  <si>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</si>
  <si>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</si>
  <si>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</si>
  <si>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</si>
  <si>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</si>
  <si>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</si>
  <si>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</si>
  <si>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</si>
  <si>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</si>
  <si>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</si>
  <si>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</si>
  <si>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</si>
  <si>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</si>
  <si>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</si>
  <si>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</si>
  <si>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</si>
  <si>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</si>
  <si>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</si>
  <si>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</si>
  <si>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</si>
  <si>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</si>
  <si>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</si>
  <si>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</si>
  <si>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</si>
  <si>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</si>
  <si>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</si>
  <si>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</si>
  <si>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</si>
  <si>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</si>
  <si>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</si>
  <si>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</si>
  <si>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</si>
  <si>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</si>
  <si>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</si>
  <si>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</si>
  <si>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</si>
  <si>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</si>
  <si>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</si>
  <si>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</si>
  <si>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</si>
  <si>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</si>
  <si>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</si>
  <si>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</si>
  <si>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</si>
  <si>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</si>
  <si>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</si>
  <si>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</si>
  <si>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</si>
  <si>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</si>
  <si>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</si>
  <si>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</si>
  <si>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</si>
  <si>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</si>
  <si>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</si>
  <si>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</si>
  <si>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</si>
  <si>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</si>
  <si>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</si>
  <si>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</si>
  <si>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</si>
  <si>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</si>
  <si>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</si>
  <si>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</si>
  <si>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</si>
  <si>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</si>
  <si>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</si>
  <si>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</si>
  <si>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</si>
  <si>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</si>
  <si>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</si>
  <si>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</si>
  <si>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</si>
  <si>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</si>
  <si>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</si>
  <si>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</si>
  <si>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</si>
  <si>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</si>
  <si>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</si>
  <si>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</si>
  <si>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</si>
  <si>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</si>
  <si>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</si>
  <si>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</si>
  <si>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</si>
  <si>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</si>
  <si>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</si>
  <si>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</si>
  <si>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</si>
  <si>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</si>
  <si>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</si>
  <si>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</si>
  <si>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</si>
  <si>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</si>
  <si>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</si>
  <si>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</si>
  <si>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</si>
  <si>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</si>
  <si>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</si>
  <si>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</si>
  <si>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</si>
  <si>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</si>
  <si>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</si>
  <si>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</si>
  <si>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</si>
  <si>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</si>
  <si>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</si>
  <si>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</si>
  <si>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</si>
  <si>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</si>
  <si>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</si>
  <si>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</si>
  <si>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</si>
  <si>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</si>
  <si>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</si>
  <si>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</si>
  <si>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</si>
  <si>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</si>
  <si>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</si>
  <si>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</si>
  <si>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</si>
  <si>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</si>
  <si>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</si>
  <si>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</si>
  <si>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</si>
  <si>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</si>
  <si>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</si>
  <si>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</si>
  <si>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</si>
  <si>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</si>
  <si>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</si>
  <si>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</si>
  <si>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</si>
  <si>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</si>
  <si>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</si>
  <si>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</si>
  <si>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</si>
  <si>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</si>
  <si>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</si>
  <si>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</si>
  <si>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</si>
  <si>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</si>
  <si>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</si>
  <si>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</si>
  <si>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</si>
  <si>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</si>
  <si>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</si>
  <si>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</si>
  <si>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</si>
  <si>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</si>
  <si>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</si>
  <si>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</si>
  <si>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</si>
  <si>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</si>
  <si>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</si>
  <si>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</si>
  <si>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</si>
  <si>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</si>
  <si>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</si>
  <si>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</si>
  <si>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</si>
  <si>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</si>
  <si>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</si>
  <si>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</si>
  <si>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</si>
  <si>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</si>
  <si>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</si>
  <si>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</si>
  <si>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</si>
  <si>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</si>
  <si>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</si>
  <si>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</si>
  <si>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</si>
  <si>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</si>
  <si>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</si>
  <si>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</si>
  <si>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</si>
  <si>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</si>
  <si>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</si>
  <si>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</si>
  <si>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</si>
  <si>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</si>
  <si>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</si>
  <si>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</si>
  <si>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</si>
  <si>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</si>
  <si>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</si>
  <si>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</si>
  <si>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</si>
  <si>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</si>
  <si>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</si>
  <si>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</si>
  <si>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</si>
  <si>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</si>
  <si>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</si>
  <si>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</si>
  <si>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</si>
  <si>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</si>
  <si>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</si>
  <si>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</si>
  <si>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</si>
  <si>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</si>
  <si>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</si>
  <si>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</si>
  <si>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</si>
  <si>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</si>
  <si>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</si>
  <si>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</si>
  <si>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</si>
  <si>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</si>
  <si>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</si>
  <si>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</si>
  <si>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</si>
  <si>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</si>
  <si>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</si>
  <si>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</si>
  <si>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</si>
  <si>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</si>
  <si>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</si>
  <si>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</si>
  <si>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</si>
  <si>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</si>
  <si>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</si>
  <si>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</si>
  <si>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</si>
  <si>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</si>
  <si>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</si>
  <si>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</si>
  <si>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</si>
  <si>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</si>
  <si>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</si>
  <si>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</si>
  <si>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</si>
  <si>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</si>
  <si>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</si>
  <si>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</si>
  <si>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</si>
  <si>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</si>
  <si>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</si>
  <si>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</si>
  <si>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</si>
  <si>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</si>
  <si>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</si>
  <si>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</si>
  <si>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</si>
  <si>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</si>
  <si>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</si>
  <si>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</si>
  <si>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</si>
  <si>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</si>
  <si>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</si>
  <si>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</si>
  <si>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</si>
  <si>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</si>
  <si>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</si>
  <si>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</si>
  <si>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</si>
  <si>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</si>
  <si>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</si>
  <si>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</si>
  <si>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</si>
  <si>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</si>
  <si>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</si>
  <si>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</si>
  <si>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</si>
  <si>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</si>
  <si>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</si>
  <si>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</si>
  <si>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</si>
  <si>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</si>
  <si>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</si>
  <si>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</si>
  <si>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</si>
  <si>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</si>
  <si>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</si>
  <si>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</si>
  <si>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</si>
  <si>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</si>
  <si>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</si>
  <si>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</si>
  <si>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</si>
  <si>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</si>
  <si>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</si>
  <si>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</si>
  <si>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</si>
  <si>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</si>
  <si>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</si>
  <si>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</si>
  <si>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</si>
  <si>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</si>
  <si>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</si>
  <si>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</si>
  <si>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</si>
  <si>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</si>
  <si>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</si>
  <si>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</si>
  <si>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</si>
  <si>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</si>
  <si>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</si>
  <si>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</si>
  <si>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</si>
  <si>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</si>
  <si>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</si>
  <si>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</si>
  <si>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</si>
  <si>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</si>
  <si>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</si>
  <si>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</si>
  <si>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</si>
  <si>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</si>
  <si>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</si>
  <si>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</si>
  <si>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</si>
  <si>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</si>
  <si>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</si>
  <si>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</si>
  <si>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</si>
  <si>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</si>
  <si>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</si>
  <si>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</si>
  <si>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</si>
  <si>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</si>
  <si>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</si>
  <si>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</si>
  <si>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</si>
  <si>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</si>
  <si>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</si>
  <si>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</si>
  <si>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</si>
  <si>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</si>
  <si>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</si>
  <si>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</si>
  <si>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</si>
  <si>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</si>
  <si>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</si>
  <si>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</si>
  <si>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</si>
  <si>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</si>
  <si>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</si>
  <si>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</si>
  <si>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</si>
  <si>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</si>
  <si>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</si>
  <si>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</si>
  <si>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</si>
  <si>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</si>
  <si>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</si>
  <si>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</si>
  <si>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</si>
  <si>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</si>
  <si>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</si>
  <si>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</si>
  <si>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</si>
  <si>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</si>
  <si>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</si>
  <si>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</si>
  <si>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</si>
  <si>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</si>
  <si>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</si>
  <si>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</si>
  <si>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</si>
  <si>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</si>
  <si>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</si>
  <si>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</si>
  <si>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</si>
  <si>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</si>
  <si>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</si>
  <si>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</si>
  <si>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</si>
  <si>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</si>
  <si>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</si>
  <si>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</si>
  <si>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</si>
  <si>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</si>
  <si>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</si>
  <si>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</si>
  <si>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</si>
  <si>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</si>
  <si>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</si>
  <si>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</si>
  <si>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</si>
  <si>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</si>
  <si>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</si>
  <si>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</si>
  <si>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</si>
  <si>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</si>
  <si>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</si>
  <si>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</si>
  <si>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</si>
  <si>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</si>
  <si>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</si>
  <si>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</si>
  <si>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</si>
  <si>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</si>
  <si>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</si>
  <si>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</si>
  <si>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</si>
  <si>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</si>
  <si>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</si>
  <si>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</si>
  <si>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</si>
  <si>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</si>
  <si>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</si>
  <si>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</si>
  <si>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</si>
  <si>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</si>
  <si>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</si>
  <si>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</si>
  <si>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</si>
  <si>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</si>
  <si>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</si>
  <si>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</si>
  <si>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</si>
  <si>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</si>
  <si>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</si>
  <si>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</si>
  <si>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</si>
  <si>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</si>
  <si>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</si>
  <si>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</si>
  <si>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</si>
  <si>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</si>
  <si>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</si>
  <si>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</si>
  <si>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</si>
  <si>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</si>
  <si>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</si>
  <si>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</si>
  <si>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</si>
  <si>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</si>
  <si>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</si>
  <si>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</si>
  <si>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</si>
  <si>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</si>
  <si>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</si>
  <si>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</si>
  <si>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</si>
  <si>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</si>
  <si>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</si>
  <si>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</si>
  <si>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</si>
  <si>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</si>
  <si>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</si>
  <si>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</si>
  <si>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</si>
  <si>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</si>
  <si>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</si>
  <si>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</si>
  <si>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</si>
  <si>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</si>
  <si>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</si>
  <si>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</si>
  <si>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</si>
  <si>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</si>
  <si>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</si>
  <si>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</si>
  <si>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</si>
  <si>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</si>
  <si>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</si>
  <si>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</si>
  <si>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</si>
  <si>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</si>
  <si>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</si>
  <si>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</si>
  <si>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</si>
  <si>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</si>
  <si>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</si>
  <si>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</si>
  <si>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 xml:space="preserve">                 CONWAY SCHOOL DISTRICT</t>
  </si>
  <si>
    <t xml:space="preserve">   Seidenstuecker</t>
  </si>
  <si>
    <t xml:space="preserve">  Seidenstuecker</t>
  </si>
  <si>
    <t>12/03</t>
  </si>
  <si>
    <t>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</si>
</sst>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75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113</v>
      </c>
      <c r="C2" s="21">
        <v>113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1263271.75+450</f>
        <v>1263721.75</v>
      </c>
      <c r="G9" s="18">
        <v>382475.74</v>
      </c>
      <c r="H9" s="18">
        <v>0</v>
      </c>
      <c r="I9" s="18"/>
      <c r="J9" s="67">
        <f>SUM(I439)</f>
        <v>1406447.5699999998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854505.57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87199.67</v>
      </c>
      <c r="G13" s="18">
        <v>121976.53</v>
      </c>
      <c r="H13" s="18">
        <v>415029.54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21669.46</v>
      </c>
      <c r="G14" s="18">
        <v>2872.85</v>
      </c>
      <c r="H14" s="18">
        <v>3231.5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20648.93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2227096.4499999997</v>
      </c>
      <c r="G19" s="41">
        <f>SUM(G9:G18)</f>
        <v>527974.05000000005</v>
      </c>
      <c r="H19" s="41">
        <f>SUM(H9:H18)</f>
        <v>418261.04</v>
      </c>
      <c r="I19" s="41">
        <f>SUM(I9:I18)</f>
        <v>0</v>
      </c>
      <c r="J19" s="41">
        <f>SUM(J9:J18)</f>
        <v>1406447.5699999998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492326.21</v>
      </c>
      <c r="H22" s="18">
        <v>290071.03999999998</v>
      </c>
      <c r="I22" s="18"/>
      <c r="J22" s="67">
        <f>SUM(I448)</f>
        <v>73400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74661.600000000006</v>
      </c>
      <c r="G24" s="18">
        <v>175</v>
      </c>
      <c r="H24" s="18">
        <v>1446.06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42101.23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872.75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117635.58000000002</v>
      </c>
      <c r="G32" s="41">
        <f>SUM(G22:G31)</f>
        <v>492501.21</v>
      </c>
      <c r="H32" s="41">
        <f>SUM(H22:H31)</f>
        <v>291517.09999999998</v>
      </c>
      <c r="I32" s="41">
        <f>SUM(I22:I31)</f>
        <v>0</v>
      </c>
      <c r="J32" s="41">
        <f>SUM(J22:J31)</f>
        <v>73400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20648.93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411328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14823.91</v>
      </c>
      <c r="H48" s="18">
        <v>126743.94</v>
      </c>
      <c r="I48" s="18"/>
      <c r="J48" s="13">
        <f>SUM(I459)</f>
        <v>1333047.5699999998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2109460.87-411328</f>
        <v>1698132.87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2109460.87</v>
      </c>
      <c r="G51" s="41">
        <f>SUM(G35:G50)</f>
        <v>35472.839999999997</v>
      </c>
      <c r="H51" s="41">
        <f>SUM(H35:H50)</f>
        <v>126743.94</v>
      </c>
      <c r="I51" s="41">
        <f>SUM(I35:I50)</f>
        <v>0</v>
      </c>
      <c r="J51" s="41">
        <f>SUM(J35:J50)</f>
        <v>1333047.5699999998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2227096.4500000002</v>
      </c>
      <c r="G52" s="41">
        <f>G51+G32</f>
        <v>527974.05000000005</v>
      </c>
      <c r="H52" s="41">
        <f>H51+H32</f>
        <v>418261.04</v>
      </c>
      <c r="I52" s="41">
        <f>I51+I32</f>
        <v>0</v>
      </c>
      <c r="J52" s="41">
        <f>J51+J32</f>
        <v>1406447.5699999998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12946998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12946998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1420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9373408.0399999991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9374828.0399999991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37856.870000000003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37856.870000000003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1744.77</v>
      </c>
      <c r="G96" s="18"/>
      <c r="H96" s="18"/>
      <c r="I96" s="18"/>
      <c r="J96" s="18">
        <v>127.17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298744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36259.25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212208.48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190766.84</v>
      </c>
      <c r="G110" s="18"/>
      <c r="H110" s="18">
        <v>177420.27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440979.33999999997</v>
      </c>
      <c r="G111" s="41">
        <f>SUM(G96:G110)</f>
        <v>298744</v>
      </c>
      <c r="H111" s="41">
        <f>SUM(H96:H110)</f>
        <v>177420.27</v>
      </c>
      <c r="I111" s="41">
        <f>SUM(I96:I110)</f>
        <v>0</v>
      </c>
      <c r="J111" s="41">
        <f>SUM(J96:J110)</f>
        <v>127.17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22800662.25</v>
      </c>
      <c r="G112" s="41">
        <f>G60+G111</f>
        <v>298744</v>
      </c>
      <c r="H112" s="41">
        <f>H60+H79+H94+H111</f>
        <v>177420.27</v>
      </c>
      <c r="I112" s="41">
        <f>I60+I111</f>
        <v>0</v>
      </c>
      <c r="J112" s="41">
        <f>J60+J111</f>
        <v>127.17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3009784.03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3506115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11273.06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6527172.0899999989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1060664.0900000001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317684.46999999997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42735.85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11047.95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2550</v>
      </c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1378348.56</v>
      </c>
      <c r="G136" s="41">
        <f>SUM(G123:G135)</f>
        <v>11047.95</v>
      </c>
      <c r="H136" s="41">
        <f>SUM(H123:H135)</f>
        <v>45285.85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7905520.6499999985</v>
      </c>
      <c r="G140" s="41">
        <f>G121+SUM(G136:G137)</f>
        <v>11047.95</v>
      </c>
      <c r="H140" s="41">
        <f>H121+SUM(H136:H139)</f>
        <v>45285.85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598748.43000000005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442474.71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72951.98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497619.64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312180.89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384711.59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384711.59</v>
      </c>
      <c r="G162" s="41">
        <f>SUM(G150:G161)</f>
        <v>497619.64</v>
      </c>
      <c r="H162" s="41">
        <f>SUM(H150:H161)</f>
        <v>1426356.0100000002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954.23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385665.82</v>
      </c>
      <c r="G169" s="41">
        <f>G147+G162+SUM(G163:G168)</f>
        <v>497619.64</v>
      </c>
      <c r="H169" s="41">
        <f>H147+H162+SUM(H163:H168)</f>
        <v>1426356.0100000002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256429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256429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60774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118719.43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179493.43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179493.43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256429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31271342.149999999</v>
      </c>
      <c r="G193" s="47">
        <f>G112+G140+G169+G192</f>
        <v>807411.59000000008</v>
      </c>
      <c r="H193" s="47">
        <f>H112+H140+H169+H192</f>
        <v>1649062.1300000004</v>
      </c>
      <c r="I193" s="47">
        <f>I112+I140+I169+I192</f>
        <v>0</v>
      </c>
      <c r="J193" s="47">
        <f>J112+J140+J192</f>
        <v>256556.17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2635715.86+105106.17</f>
        <v>2740822.03</v>
      </c>
      <c r="G197" s="18">
        <f>1440034.36+475185.86</f>
        <v>1915220.2200000002</v>
      </c>
      <c r="H197" s="18">
        <v>19236.84</v>
      </c>
      <c r="I197" s="18">
        <v>126755.96</v>
      </c>
      <c r="J197" s="18">
        <v>61063.11</v>
      </c>
      <c r="K197" s="18"/>
      <c r="L197" s="19">
        <f>SUM(F197:K197)</f>
        <v>4863098.16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1279460.52</v>
      </c>
      <c r="G198" s="18">
        <v>864257.61</v>
      </c>
      <c r="H198" s="18">
        <v>641994.61</v>
      </c>
      <c r="I198" s="18">
        <v>1364.64</v>
      </c>
      <c r="J198" s="18">
        <v>0</v>
      </c>
      <c r="K198" s="18"/>
      <c r="L198" s="19">
        <f>SUM(F198:K198)</f>
        <v>2787077.38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24494.7</v>
      </c>
      <c r="G200" s="18">
        <v>4206.8599999999997</v>
      </c>
      <c r="H200" s="18">
        <v>6159.65</v>
      </c>
      <c r="I200" s="18"/>
      <c r="J200" s="18"/>
      <c r="K200" s="18"/>
      <c r="L200" s="19">
        <f>SUM(F200:K200)</f>
        <v>34861.21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518753.83</v>
      </c>
      <c r="G202" s="18">
        <v>338934.37</v>
      </c>
      <c r="H202" s="18">
        <v>165430.43</v>
      </c>
      <c r="I202" s="18">
        <v>5048.82</v>
      </c>
      <c r="J202" s="18">
        <v>257.22000000000003</v>
      </c>
      <c r="K202" s="18"/>
      <c r="L202" s="19">
        <f t="shared" ref="L202:L208" si="0">SUM(F202:K202)</f>
        <v>1028424.6699999998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103947.42</v>
      </c>
      <c r="G203" s="18">
        <v>94982.53</v>
      </c>
      <c r="H203" s="18">
        <v>20686.63</v>
      </c>
      <c r="I203" s="18">
        <v>22145.32</v>
      </c>
      <c r="J203" s="18">
        <v>14488.58</v>
      </c>
      <c r="K203" s="18"/>
      <c r="L203" s="19">
        <f t="shared" si="0"/>
        <v>256250.48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8736</v>
      </c>
      <c r="G204" s="18">
        <v>668.35</v>
      </c>
      <c r="H204" s="18">
        <v>399239.27</v>
      </c>
      <c r="I204" s="18">
        <v>1901.25</v>
      </c>
      <c r="J204" s="18">
        <v>0</v>
      </c>
      <c r="K204" s="18">
        <v>2191.4899999999998</v>
      </c>
      <c r="L204" s="19">
        <f t="shared" si="0"/>
        <v>412736.36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324315.59999999998</v>
      </c>
      <c r="G205" s="18">
        <v>181993.3</v>
      </c>
      <c r="H205" s="18">
        <v>42220.28</v>
      </c>
      <c r="I205" s="18">
        <v>3864.55</v>
      </c>
      <c r="J205" s="18">
        <v>4616.66</v>
      </c>
      <c r="K205" s="18">
        <v>2618</v>
      </c>
      <c r="L205" s="19">
        <f t="shared" si="0"/>
        <v>559628.39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291089.84999999998</v>
      </c>
      <c r="G207" s="18">
        <v>184242.03</v>
      </c>
      <c r="H207" s="18">
        <v>542357.80000000005</v>
      </c>
      <c r="I207" s="18">
        <v>288163.08</v>
      </c>
      <c r="J207" s="18">
        <v>30755.65</v>
      </c>
      <c r="K207" s="18"/>
      <c r="L207" s="19">
        <f t="shared" si="0"/>
        <v>1336608.4099999999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140392.38</v>
      </c>
      <c r="G208" s="18">
        <v>58179.06</v>
      </c>
      <c r="H208" s="18">
        <v>47055.65</v>
      </c>
      <c r="I208" s="18">
        <v>35615.43</v>
      </c>
      <c r="J208" s="18">
        <v>24191</v>
      </c>
      <c r="K208" s="18"/>
      <c r="L208" s="19">
        <f t="shared" si="0"/>
        <v>305433.52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1209.8</v>
      </c>
      <c r="I209" s="18"/>
      <c r="J209" s="18"/>
      <c r="K209" s="18"/>
      <c r="L209" s="19">
        <f>SUM(F209:K209)</f>
        <v>1209.8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5432012.3299999991</v>
      </c>
      <c r="G211" s="41">
        <f t="shared" si="1"/>
        <v>3642684.3299999996</v>
      </c>
      <c r="H211" s="41">
        <f t="shared" si="1"/>
        <v>1885590.9600000002</v>
      </c>
      <c r="I211" s="41">
        <f t="shared" si="1"/>
        <v>484859.05</v>
      </c>
      <c r="J211" s="41">
        <f t="shared" si="1"/>
        <v>135372.22</v>
      </c>
      <c r="K211" s="41">
        <f t="shared" si="1"/>
        <v>4809.49</v>
      </c>
      <c r="L211" s="41">
        <f t="shared" si="1"/>
        <v>11585328.380000001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1162550.96+29493.55</f>
        <v>1192044.51</v>
      </c>
      <c r="G215" s="18">
        <f>595089.05+180663.44</f>
        <v>775752.49</v>
      </c>
      <c r="H215" s="18">
        <v>11276.82</v>
      </c>
      <c r="I215" s="18">
        <v>58085.79</v>
      </c>
      <c r="J215" s="18">
        <v>51394.48</v>
      </c>
      <c r="K215" s="18"/>
      <c r="L215" s="19">
        <f>SUM(F215:K215)</f>
        <v>2088554.09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422142.6</v>
      </c>
      <c r="G216" s="18">
        <v>299391.69</v>
      </c>
      <c r="H216" s="18">
        <v>69015</v>
      </c>
      <c r="I216" s="18">
        <v>7848.68</v>
      </c>
      <c r="J216" s="18">
        <v>1078.99</v>
      </c>
      <c r="K216" s="18"/>
      <c r="L216" s="19">
        <f>SUM(F216:K216)</f>
        <v>799476.96000000008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56434</v>
      </c>
      <c r="G218" s="18">
        <v>7119.96</v>
      </c>
      <c r="H218" s="18">
        <v>13306.48</v>
      </c>
      <c r="I218" s="18">
        <v>6731.56</v>
      </c>
      <c r="J218" s="18">
        <v>2331.35</v>
      </c>
      <c r="K218" s="18">
        <v>1560.45</v>
      </c>
      <c r="L218" s="19">
        <f>SUM(F218:K218)</f>
        <v>87483.8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117645.68</v>
      </c>
      <c r="G220" s="18">
        <v>54751.83</v>
      </c>
      <c r="H220" s="18">
        <v>9674.9</v>
      </c>
      <c r="I220" s="18">
        <v>4580.01</v>
      </c>
      <c r="J220" s="18">
        <v>450</v>
      </c>
      <c r="K220" s="18">
        <v>169</v>
      </c>
      <c r="L220" s="19">
        <f t="shared" ref="L220:L226" si="2">SUM(F220:K220)</f>
        <v>187271.42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47638</v>
      </c>
      <c r="G221" s="18">
        <v>43667.34</v>
      </c>
      <c r="H221" s="18">
        <v>6118.88</v>
      </c>
      <c r="I221" s="18">
        <v>9822.27</v>
      </c>
      <c r="J221" s="18">
        <v>5190.95</v>
      </c>
      <c r="K221" s="18">
        <v>592</v>
      </c>
      <c r="L221" s="19">
        <f t="shared" si="2"/>
        <v>113029.44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3336</v>
      </c>
      <c r="G222" s="18">
        <v>255.25</v>
      </c>
      <c r="H222" s="18">
        <v>152472.89000000001</v>
      </c>
      <c r="I222" s="18">
        <v>726.1</v>
      </c>
      <c r="J222" s="18">
        <v>0</v>
      </c>
      <c r="K222" s="18">
        <v>836.95</v>
      </c>
      <c r="L222" s="19">
        <f t="shared" si="2"/>
        <v>157627.19000000003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145355.16</v>
      </c>
      <c r="G223" s="18">
        <v>68167.37</v>
      </c>
      <c r="H223" s="18">
        <v>26834.76</v>
      </c>
      <c r="I223" s="18">
        <v>1181.1600000000001</v>
      </c>
      <c r="J223" s="18">
        <v>2667.84</v>
      </c>
      <c r="K223" s="18">
        <v>3505.25</v>
      </c>
      <c r="L223" s="19">
        <f t="shared" si="2"/>
        <v>247711.54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257466.55</v>
      </c>
      <c r="G225" s="18">
        <v>137149.43</v>
      </c>
      <c r="H225" s="18">
        <v>289177.28999999998</v>
      </c>
      <c r="I225" s="18">
        <v>249761.16</v>
      </c>
      <c r="J225" s="18">
        <v>7317.44</v>
      </c>
      <c r="K225" s="18"/>
      <c r="L225" s="19">
        <f t="shared" si="2"/>
        <v>940871.87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43507.56</v>
      </c>
      <c r="G226" s="18">
        <v>19332.43</v>
      </c>
      <c r="H226" s="18">
        <v>22642.62</v>
      </c>
      <c r="I226" s="18">
        <v>13601.88</v>
      </c>
      <c r="J226" s="18">
        <v>9235</v>
      </c>
      <c r="K226" s="18"/>
      <c r="L226" s="19">
        <f t="shared" si="2"/>
        <v>108319.49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462.05</v>
      </c>
      <c r="I227" s="18"/>
      <c r="J227" s="18"/>
      <c r="K227" s="18"/>
      <c r="L227" s="19">
        <f>SUM(F227:K227)</f>
        <v>462.05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2285570.0599999996</v>
      </c>
      <c r="G229" s="41">
        <f>SUM(G215:G228)</f>
        <v>1405587.79</v>
      </c>
      <c r="H229" s="41">
        <f>SUM(H215:H228)</f>
        <v>600981.69000000006</v>
      </c>
      <c r="I229" s="41">
        <f>SUM(I215:I228)</f>
        <v>352338.61</v>
      </c>
      <c r="J229" s="41">
        <f>SUM(J215:J228)</f>
        <v>79666.05</v>
      </c>
      <c r="K229" s="41">
        <f t="shared" si="3"/>
        <v>6663.65</v>
      </c>
      <c r="L229" s="41">
        <f t="shared" si="3"/>
        <v>4730807.8499999996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2396368.24+55912.8</f>
        <v>2452281.04</v>
      </c>
      <c r="G233" s="18">
        <f>1385185.35+532456.5</f>
        <v>1917641.85</v>
      </c>
      <c r="H233" s="18">
        <v>33749.89</v>
      </c>
      <c r="I233" s="18">
        <v>112644.39</v>
      </c>
      <c r="J233" s="18">
        <v>87681.08</v>
      </c>
      <c r="K233" s="18"/>
      <c r="L233" s="19">
        <f>SUM(F233:K233)</f>
        <v>4603998.25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643219.92000000004</v>
      </c>
      <c r="G234" s="18">
        <v>459048.79</v>
      </c>
      <c r="H234" s="18">
        <v>340561.84</v>
      </c>
      <c r="I234" s="18">
        <v>5793.72</v>
      </c>
      <c r="J234" s="18">
        <v>2787.9</v>
      </c>
      <c r="K234" s="18"/>
      <c r="L234" s="19">
        <f>SUM(F234:K234)</f>
        <v>1451412.17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439312.38</v>
      </c>
      <c r="G235" s="18">
        <v>227169.97</v>
      </c>
      <c r="H235" s="18">
        <v>27898.97</v>
      </c>
      <c r="I235" s="18">
        <v>64337.98</v>
      </c>
      <c r="J235" s="18">
        <v>7212.03</v>
      </c>
      <c r="K235" s="18"/>
      <c r="L235" s="19">
        <f>SUM(F235:K235)</f>
        <v>765931.33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183439.17</v>
      </c>
      <c r="G236" s="18">
        <v>35182.080000000002</v>
      </c>
      <c r="H236" s="18">
        <v>77255.199999999997</v>
      </c>
      <c r="I236" s="18">
        <v>17925.02</v>
      </c>
      <c r="J236" s="18">
        <v>2190.89</v>
      </c>
      <c r="K236" s="18">
        <v>10115</v>
      </c>
      <c r="L236" s="19">
        <f>SUM(F236:K236)</f>
        <v>326107.36000000004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564515.76</v>
      </c>
      <c r="G238" s="18">
        <v>299068.90999999997</v>
      </c>
      <c r="H238" s="18">
        <v>77989.03</v>
      </c>
      <c r="I238" s="18">
        <v>14900.32</v>
      </c>
      <c r="J238" s="18">
        <v>547.80999999999995</v>
      </c>
      <c r="K238" s="18"/>
      <c r="L238" s="19">
        <f t="shared" ref="L238:L244" si="4">SUM(F238:K238)</f>
        <v>957021.83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62894.13</v>
      </c>
      <c r="G239" s="18">
        <v>41778.61</v>
      </c>
      <c r="H239" s="18">
        <v>38470.11</v>
      </c>
      <c r="I239" s="18">
        <v>17195.939999999999</v>
      </c>
      <c r="J239" s="18">
        <v>13494</v>
      </c>
      <c r="K239" s="18">
        <v>1382</v>
      </c>
      <c r="L239" s="19">
        <f t="shared" si="4"/>
        <v>175214.78999999998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9878</v>
      </c>
      <c r="G240" s="18">
        <v>755.68</v>
      </c>
      <c r="H240" s="18">
        <v>451400.49</v>
      </c>
      <c r="I240" s="18">
        <v>2149.65</v>
      </c>
      <c r="J240" s="18">
        <v>0</v>
      </c>
      <c r="K240" s="18">
        <v>2477.8200000000002</v>
      </c>
      <c r="L240" s="19">
        <f t="shared" si="4"/>
        <v>466661.64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403010.66</v>
      </c>
      <c r="G241" s="18">
        <v>201600.08</v>
      </c>
      <c r="H241" s="18">
        <v>70716</v>
      </c>
      <c r="I241" s="18">
        <v>17369.490000000002</v>
      </c>
      <c r="J241" s="18">
        <v>1701.95</v>
      </c>
      <c r="K241" s="18">
        <v>15531.75</v>
      </c>
      <c r="L241" s="19">
        <f t="shared" si="4"/>
        <v>709929.92999999993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479715.6</v>
      </c>
      <c r="G243" s="18">
        <v>285755.31</v>
      </c>
      <c r="H243" s="18">
        <v>422833.2</v>
      </c>
      <c r="I243" s="18">
        <v>483426.34</v>
      </c>
      <c r="J243" s="18">
        <v>13228.22</v>
      </c>
      <c r="K243" s="18"/>
      <c r="L243" s="19">
        <f t="shared" si="4"/>
        <v>1684958.67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117436.48</v>
      </c>
      <c r="G244" s="18">
        <v>52028.2</v>
      </c>
      <c r="H244" s="18">
        <v>46492.33</v>
      </c>
      <c r="I244" s="18">
        <v>40268.71</v>
      </c>
      <c r="J244" s="18">
        <v>27348</v>
      </c>
      <c r="K244" s="18"/>
      <c r="L244" s="19">
        <f t="shared" si="4"/>
        <v>283573.71999999997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1367.9</v>
      </c>
      <c r="I245" s="18"/>
      <c r="J245" s="18"/>
      <c r="K245" s="18"/>
      <c r="L245" s="19">
        <f>SUM(F245:K245)</f>
        <v>1367.9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5355703.1399999997</v>
      </c>
      <c r="G247" s="41">
        <f t="shared" si="5"/>
        <v>3520029.4800000009</v>
      </c>
      <c r="H247" s="41">
        <f t="shared" si="5"/>
        <v>1588734.96</v>
      </c>
      <c r="I247" s="41">
        <f t="shared" si="5"/>
        <v>776011.55999999994</v>
      </c>
      <c r="J247" s="41">
        <f t="shared" si="5"/>
        <v>156191.88</v>
      </c>
      <c r="K247" s="41">
        <f t="shared" si="5"/>
        <v>29506.57</v>
      </c>
      <c r="L247" s="41">
        <f t="shared" si="5"/>
        <v>11426177.590000002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13073285.529999997</v>
      </c>
      <c r="G257" s="41">
        <f t="shared" si="8"/>
        <v>8568301.5999999996</v>
      </c>
      <c r="H257" s="41">
        <f t="shared" si="8"/>
        <v>4075307.6100000003</v>
      </c>
      <c r="I257" s="41">
        <f t="shared" si="8"/>
        <v>1613209.2199999997</v>
      </c>
      <c r="J257" s="41">
        <f t="shared" si="8"/>
        <v>371230.15</v>
      </c>
      <c r="K257" s="41">
        <f t="shared" si="8"/>
        <v>40979.71</v>
      </c>
      <c r="L257" s="41">
        <f t="shared" si="8"/>
        <v>27742313.82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1850000</v>
      </c>
      <c r="L260" s="19">
        <f>SUM(F260:K260)</f>
        <v>1850000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810224.5</v>
      </c>
      <c r="L261" s="19">
        <f>SUM(F261:K261)</f>
        <v>810224.5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256429</v>
      </c>
      <c r="L266" s="19">
        <f t="shared" si="9"/>
        <v>256429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2916653.5</v>
      </c>
      <c r="L270" s="41">
        <f t="shared" si="9"/>
        <v>2916653.5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13073285.529999997</v>
      </c>
      <c r="G271" s="42">
        <f t="shared" si="11"/>
        <v>8568301.5999999996</v>
      </c>
      <c r="H271" s="42">
        <f t="shared" si="11"/>
        <v>4075307.6100000003</v>
      </c>
      <c r="I271" s="42">
        <f t="shared" si="11"/>
        <v>1613209.2199999997</v>
      </c>
      <c r="J271" s="42">
        <f t="shared" si="11"/>
        <v>371230.15</v>
      </c>
      <c r="K271" s="42">
        <f t="shared" si="11"/>
        <v>2957633.21</v>
      </c>
      <c r="L271" s="42">
        <f t="shared" si="11"/>
        <v>30658967.32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348465.99</v>
      </c>
      <c r="G276" s="18">
        <v>135683.64000000001</v>
      </c>
      <c r="H276" s="18">
        <v>0</v>
      </c>
      <c r="I276" s="18">
        <v>69880.56</v>
      </c>
      <c r="J276" s="18">
        <v>49033.1</v>
      </c>
      <c r="K276" s="18"/>
      <c r="L276" s="19">
        <f>SUM(F276:K276)</f>
        <v>603063.28999999992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25377.5</v>
      </c>
      <c r="G277" s="18">
        <v>16985.55</v>
      </c>
      <c r="H277" s="18">
        <v>2000</v>
      </c>
      <c r="I277" s="18">
        <v>4194.3599999999997</v>
      </c>
      <c r="J277" s="18">
        <v>6154.05</v>
      </c>
      <c r="K277" s="18"/>
      <c r="L277" s="19">
        <f>SUM(F277:K277)</f>
        <v>54711.460000000006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154798.29</v>
      </c>
      <c r="G279" s="18">
        <v>25054.23</v>
      </c>
      <c r="H279" s="18">
        <v>14935</v>
      </c>
      <c r="I279" s="18">
        <v>26853.98</v>
      </c>
      <c r="J279" s="18">
        <v>2039</v>
      </c>
      <c r="K279" s="18"/>
      <c r="L279" s="19">
        <f>SUM(F279:K279)</f>
        <v>223680.50000000003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44497.19</v>
      </c>
      <c r="G281" s="18">
        <v>10704.69</v>
      </c>
      <c r="H281" s="18">
        <v>97112.22</v>
      </c>
      <c r="I281" s="18"/>
      <c r="J281" s="18"/>
      <c r="K281" s="18"/>
      <c r="L281" s="19">
        <f t="shared" ref="L281:L287" si="12">SUM(F281:K281)</f>
        <v>152314.1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7975.65</v>
      </c>
      <c r="G282" s="18">
        <v>2552.5</v>
      </c>
      <c r="H282" s="18">
        <v>96741.83</v>
      </c>
      <c r="I282" s="18">
        <v>2609.4699999999998</v>
      </c>
      <c r="J282" s="18">
        <v>19660.12</v>
      </c>
      <c r="K282" s="18"/>
      <c r="L282" s="19">
        <f t="shared" si="12"/>
        <v>129539.56999999999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13902.68</v>
      </c>
      <c r="I287" s="18"/>
      <c r="J287" s="18"/>
      <c r="K287" s="18"/>
      <c r="L287" s="19">
        <f t="shared" si="12"/>
        <v>13902.68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581114.62</v>
      </c>
      <c r="G290" s="42">
        <f t="shared" si="13"/>
        <v>190980.61000000002</v>
      </c>
      <c r="H290" s="42">
        <f t="shared" si="13"/>
        <v>224691.72999999998</v>
      </c>
      <c r="I290" s="42">
        <f t="shared" si="13"/>
        <v>103538.37</v>
      </c>
      <c r="J290" s="42">
        <f t="shared" si="13"/>
        <v>76886.27</v>
      </c>
      <c r="K290" s="42">
        <f t="shared" si="13"/>
        <v>0</v>
      </c>
      <c r="L290" s="41">
        <f t="shared" si="13"/>
        <v>1177211.5999999999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>
        <v>3320</v>
      </c>
      <c r="K295" s="18"/>
      <c r="L295" s="19">
        <f>SUM(F295:K295)</f>
        <v>3320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>
        <v>1000</v>
      </c>
      <c r="I296" s="18">
        <v>850.94</v>
      </c>
      <c r="J296" s="18">
        <v>2683.33</v>
      </c>
      <c r="K296" s="18"/>
      <c r="L296" s="19">
        <f>SUM(F296:K296)</f>
        <v>4534.2700000000004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11678.7</v>
      </c>
      <c r="G300" s="18">
        <v>4262.66</v>
      </c>
      <c r="H300" s="18">
        <v>17315.28</v>
      </c>
      <c r="I300" s="18"/>
      <c r="J300" s="18"/>
      <c r="K300" s="18"/>
      <c r="L300" s="19">
        <f t="shared" ref="L300:L306" si="14">SUM(F300:K300)</f>
        <v>33256.639999999999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4118</v>
      </c>
      <c r="G301" s="18">
        <v>814.09</v>
      </c>
      <c r="H301" s="18">
        <v>3560</v>
      </c>
      <c r="I301" s="18"/>
      <c r="J301" s="18"/>
      <c r="K301" s="18"/>
      <c r="L301" s="19">
        <f t="shared" si="14"/>
        <v>8492.09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15796.7</v>
      </c>
      <c r="G309" s="42">
        <f t="shared" si="15"/>
        <v>5076.75</v>
      </c>
      <c r="H309" s="42">
        <f t="shared" si="15"/>
        <v>21875.279999999999</v>
      </c>
      <c r="I309" s="42">
        <f t="shared" si="15"/>
        <v>850.94</v>
      </c>
      <c r="J309" s="42">
        <f t="shared" si="15"/>
        <v>6003.33</v>
      </c>
      <c r="K309" s="42">
        <f t="shared" si="15"/>
        <v>0</v>
      </c>
      <c r="L309" s="41">
        <f t="shared" si="15"/>
        <v>49603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30686.76</v>
      </c>
      <c r="G314" s="18">
        <v>29692.91</v>
      </c>
      <c r="H314" s="18">
        <v>2550</v>
      </c>
      <c r="I314" s="18">
        <v>6776.36</v>
      </c>
      <c r="J314" s="18">
        <v>3622.32</v>
      </c>
      <c r="K314" s="18"/>
      <c r="L314" s="19">
        <f>SUM(F314:K314)</f>
        <v>73328.350000000006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1868</v>
      </c>
      <c r="G315" s="18">
        <v>142.9</v>
      </c>
      <c r="H315" s="18">
        <v>1000</v>
      </c>
      <c r="I315" s="18">
        <v>1576.77</v>
      </c>
      <c r="J315" s="18">
        <v>7230.58</v>
      </c>
      <c r="K315" s="18"/>
      <c r="L315" s="19">
        <f>SUM(F315:K315)</f>
        <v>11818.25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7199.94</v>
      </c>
      <c r="G316" s="18">
        <v>3487.54</v>
      </c>
      <c r="H316" s="18">
        <v>6103.67</v>
      </c>
      <c r="I316" s="18">
        <v>9819.01</v>
      </c>
      <c r="J316" s="18">
        <v>42001.82</v>
      </c>
      <c r="K316" s="18"/>
      <c r="L316" s="19">
        <f>SUM(F316:K316)</f>
        <v>68611.98000000001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31282.2</v>
      </c>
      <c r="G319" s="18">
        <v>11417.84</v>
      </c>
      <c r="H319" s="18">
        <v>62000</v>
      </c>
      <c r="I319" s="18"/>
      <c r="J319" s="18"/>
      <c r="K319" s="18"/>
      <c r="L319" s="19">
        <f t="shared" ref="L319:L325" si="16">SUM(F319:K319)</f>
        <v>104700.04000000001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10289.52</v>
      </c>
      <c r="G320" s="18">
        <v>401.82</v>
      </c>
      <c r="H320" s="18">
        <v>55979.32</v>
      </c>
      <c r="I320" s="18"/>
      <c r="J320" s="18"/>
      <c r="K320" s="18">
        <v>2261.06</v>
      </c>
      <c r="L320" s="19">
        <f t="shared" si="16"/>
        <v>68931.72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2592.46</v>
      </c>
      <c r="G325" s="18">
        <v>339.32</v>
      </c>
      <c r="H325" s="18"/>
      <c r="I325" s="18"/>
      <c r="J325" s="18"/>
      <c r="K325" s="18"/>
      <c r="L325" s="19">
        <f t="shared" si="16"/>
        <v>2931.78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83918.88</v>
      </c>
      <c r="G328" s="42">
        <f t="shared" si="17"/>
        <v>45482.33</v>
      </c>
      <c r="H328" s="42">
        <f t="shared" si="17"/>
        <v>127632.98999999999</v>
      </c>
      <c r="I328" s="42">
        <f t="shared" si="17"/>
        <v>18172.14</v>
      </c>
      <c r="J328" s="42">
        <f t="shared" si="17"/>
        <v>52854.720000000001</v>
      </c>
      <c r="K328" s="42">
        <f t="shared" si="17"/>
        <v>2261.06</v>
      </c>
      <c r="L328" s="41">
        <f t="shared" si="17"/>
        <v>330322.12000000005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18000</v>
      </c>
      <c r="G333" s="18">
        <v>2891.09</v>
      </c>
      <c r="H333" s="18">
        <v>0</v>
      </c>
      <c r="I333" s="18">
        <v>18589.060000000001</v>
      </c>
      <c r="J333" s="18">
        <v>3255.7</v>
      </c>
      <c r="K333" s="18"/>
      <c r="L333" s="19">
        <f t="shared" si="18"/>
        <v>42735.85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18000</v>
      </c>
      <c r="G337" s="41">
        <f t="shared" si="19"/>
        <v>2891.09</v>
      </c>
      <c r="H337" s="41">
        <f t="shared" si="19"/>
        <v>0</v>
      </c>
      <c r="I337" s="41">
        <f t="shared" si="19"/>
        <v>18589.060000000001</v>
      </c>
      <c r="J337" s="41">
        <f t="shared" si="19"/>
        <v>3255.7</v>
      </c>
      <c r="K337" s="41">
        <f t="shared" si="19"/>
        <v>0</v>
      </c>
      <c r="L337" s="41">
        <f t="shared" si="18"/>
        <v>42735.85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698830.2</v>
      </c>
      <c r="G338" s="41">
        <f t="shared" si="20"/>
        <v>244430.78</v>
      </c>
      <c r="H338" s="41">
        <f t="shared" si="20"/>
        <v>374200</v>
      </c>
      <c r="I338" s="41">
        <f t="shared" si="20"/>
        <v>141150.51</v>
      </c>
      <c r="J338" s="41">
        <f t="shared" si="20"/>
        <v>139000.02000000002</v>
      </c>
      <c r="K338" s="41">
        <f t="shared" si="20"/>
        <v>2261.06</v>
      </c>
      <c r="L338" s="41">
        <f t="shared" si="20"/>
        <v>1599872.57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698830.2</v>
      </c>
      <c r="G352" s="41">
        <f>G338</f>
        <v>244430.78</v>
      </c>
      <c r="H352" s="41">
        <f>H338</f>
        <v>374200</v>
      </c>
      <c r="I352" s="41">
        <f>I338</f>
        <v>141150.51</v>
      </c>
      <c r="J352" s="41">
        <f>J338</f>
        <v>139000.02000000002</v>
      </c>
      <c r="K352" s="47">
        <f>K338+K351</f>
        <v>2261.06</v>
      </c>
      <c r="L352" s="41">
        <f>L338+L351</f>
        <v>1599872.57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115727.39</v>
      </c>
      <c r="G358" s="18">
        <v>81180.41</v>
      </c>
      <c r="H358" s="18">
        <v>9237.66</v>
      </c>
      <c r="I358" s="18">
        <v>126872.12</v>
      </c>
      <c r="J358" s="18">
        <v>2278.27</v>
      </c>
      <c r="K358" s="18"/>
      <c r="L358" s="13">
        <f>SUM(F358:K358)</f>
        <v>335295.84999999998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44197.39</v>
      </c>
      <c r="G359" s="18">
        <v>31003.56</v>
      </c>
      <c r="H359" s="18">
        <v>3527.95</v>
      </c>
      <c r="I359" s="18">
        <v>48453.67</v>
      </c>
      <c r="J359" s="18">
        <v>870.08</v>
      </c>
      <c r="K359" s="18"/>
      <c r="L359" s="19">
        <f>SUM(F359:K359)</f>
        <v>128052.65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130847.54</v>
      </c>
      <c r="G360" s="18">
        <v>91786.880000000005</v>
      </c>
      <c r="H360" s="18">
        <v>10444.59</v>
      </c>
      <c r="I360" s="18">
        <v>143448.38</v>
      </c>
      <c r="J360" s="18">
        <v>2575.92</v>
      </c>
      <c r="K360" s="18"/>
      <c r="L360" s="19">
        <f>SUM(F360:K360)</f>
        <v>379103.31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290772.32</v>
      </c>
      <c r="G362" s="47">
        <f t="shared" si="22"/>
        <v>203970.85</v>
      </c>
      <c r="H362" s="47">
        <f t="shared" si="22"/>
        <v>23210.2</v>
      </c>
      <c r="I362" s="47">
        <f t="shared" si="22"/>
        <v>318774.17</v>
      </c>
      <c r="J362" s="47">
        <f t="shared" si="22"/>
        <v>5724.27</v>
      </c>
      <c r="K362" s="47">
        <f t="shared" si="22"/>
        <v>0</v>
      </c>
      <c r="L362" s="47">
        <f t="shared" si="22"/>
        <v>842451.81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118127.72</v>
      </c>
      <c r="G367" s="18">
        <v>45114.11</v>
      </c>
      <c r="H367" s="18">
        <v>133561.51</v>
      </c>
      <c r="I367" s="56">
        <f>SUM(F367:H367)</f>
        <v>296803.34000000003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8744.4</v>
      </c>
      <c r="G368" s="63">
        <v>3339.56</v>
      </c>
      <c r="H368" s="63">
        <v>9886.8700000000008</v>
      </c>
      <c r="I368" s="56">
        <f>SUM(F368:H368)</f>
        <v>21970.83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126872.12</v>
      </c>
      <c r="G369" s="47">
        <f>SUM(G367:G368)</f>
        <v>48453.67</v>
      </c>
      <c r="H369" s="47">
        <f>SUM(H367:H368)</f>
        <v>143448.38</v>
      </c>
      <c r="I369" s="47">
        <f>SUM(I367:I368)</f>
        <v>318774.17000000004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75000</v>
      </c>
      <c r="H390" s="18">
        <v>4.13</v>
      </c>
      <c r="I390" s="18"/>
      <c r="J390" s="24" t="s">
        <v>289</v>
      </c>
      <c r="K390" s="24" t="s">
        <v>289</v>
      </c>
      <c r="L390" s="56">
        <f t="shared" si="25"/>
        <v>75004.13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0</v>
      </c>
      <c r="H392" s="18">
        <v>0.37</v>
      </c>
      <c r="I392" s="18"/>
      <c r="J392" s="24" t="s">
        <v>289</v>
      </c>
      <c r="K392" s="24" t="s">
        <v>289</v>
      </c>
      <c r="L392" s="56">
        <f t="shared" si="25"/>
        <v>0.37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75000</v>
      </c>
      <c r="H393" s="139">
        <f>SUM(H387:H392)</f>
        <v>4.5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75004.5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181429</v>
      </c>
      <c r="H396" s="18">
        <v>75.45</v>
      </c>
      <c r="I396" s="18"/>
      <c r="J396" s="24" t="s">
        <v>289</v>
      </c>
      <c r="K396" s="24" t="s">
        <v>289</v>
      </c>
      <c r="L396" s="56">
        <f t="shared" si="26"/>
        <v>181504.45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40.42</v>
      </c>
      <c r="I397" s="18"/>
      <c r="J397" s="24" t="s">
        <v>289</v>
      </c>
      <c r="K397" s="24" t="s">
        <v>289</v>
      </c>
      <c r="L397" s="56">
        <f t="shared" si="26"/>
        <v>40.42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>
        <v>3.13</v>
      </c>
      <c r="I398" s="18"/>
      <c r="J398" s="24" t="s">
        <v>289</v>
      </c>
      <c r="K398" s="24" t="s">
        <v>289</v>
      </c>
      <c r="L398" s="56">
        <f t="shared" si="26"/>
        <v>3.13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181429</v>
      </c>
      <c r="H401" s="47">
        <f>SUM(H395:H400)</f>
        <v>119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181548.00000000003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>
        <v>0</v>
      </c>
      <c r="H403" s="18">
        <v>3.67</v>
      </c>
      <c r="I403" s="18"/>
      <c r="J403" s="24" t="s">
        <v>289</v>
      </c>
      <c r="K403" s="24" t="s">
        <v>289</v>
      </c>
      <c r="L403" s="56">
        <f>SUM(F403:K403)</f>
        <v>3.67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3.67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3.67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256429</v>
      </c>
      <c r="H408" s="47">
        <f>H393+H401+H407</f>
        <v>127.17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256556.17000000004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>
        <v>60774</v>
      </c>
      <c r="L416" s="56">
        <f t="shared" si="27"/>
        <v>60774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60774</v>
      </c>
      <c r="L419" s="47">
        <f t="shared" si="28"/>
        <v>60774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73400</v>
      </c>
      <c r="L422" s="56">
        <f t="shared" si="29"/>
        <v>73400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>
        <v>45319.43</v>
      </c>
      <c r="L424" s="56">
        <f t="shared" si="29"/>
        <v>45319.43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118719.43</v>
      </c>
      <c r="L427" s="47">
        <f t="shared" si="30"/>
        <v>118719.43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913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1000</v>
      </c>
      <c r="I429" s="18"/>
      <c r="J429" s="18"/>
      <c r="K429" s="18"/>
      <c r="L429" s="56">
        <f>SUM(F429:K429)</f>
        <v>1000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1000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1000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1000</v>
      </c>
      <c r="I434" s="47">
        <f t="shared" si="32"/>
        <v>0</v>
      </c>
      <c r="J434" s="47">
        <f t="shared" si="32"/>
        <v>0</v>
      </c>
      <c r="K434" s="47">
        <f t="shared" si="32"/>
        <v>179493.43</v>
      </c>
      <c r="L434" s="47">
        <f t="shared" si="32"/>
        <v>180493.43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77988.92</v>
      </c>
      <c r="G439" s="18">
        <f>1222649.23+73400</f>
        <v>1296049.23</v>
      </c>
      <c r="H439" s="18">
        <v>32409.42</v>
      </c>
      <c r="I439" s="56">
        <f t="shared" ref="I439:I445" si="33">SUM(F439:H439)</f>
        <v>1406447.5699999998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77988.92</v>
      </c>
      <c r="G446" s="13">
        <f>SUM(G439:G445)</f>
        <v>1296049.23</v>
      </c>
      <c r="H446" s="13">
        <f>SUM(H439:H445)</f>
        <v>32409.42</v>
      </c>
      <c r="I446" s="13">
        <f>SUM(I439:I445)</f>
        <v>1406447.5699999998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73400</v>
      </c>
      <c r="H448" s="18"/>
      <c r="I448" s="56">
        <f>SUM(F448:H448)</f>
        <v>73400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73400</v>
      </c>
      <c r="H452" s="72">
        <f>SUM(H448:H451)</f>
        <v>0</v>
      </c>
      <c r="I452" s="72">
        <f>SUM(I448:I451)</f>
        <v>73400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77988.92</v>
      </c>
      <c r="G459" s="18">
        <v>1222649.23</v>
      </c>
      <c r="H459" s="18">
        <v>32409.42</v>
      </c>
      <c r="I459" s="56">
        <f t="shared" si="34"/>
        <v>1333047.5699999998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77988.92</v>
      </c>
      <c r="G460" s="83">
        <f>SUM(G454:G459)</f>
        <v>1222649.23</v>
      </c>
      <c r="H460" s="83">
        <f>SUM(H454:H459)</f>
        <v>32409.42</v>
      </c>
      <c r="I460" s="83">
        <f>SUM(I454:I459)</f>
        <v>1333047.5699999998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77988.92</v>
      </c>
      <c r="G461" s="42">
        <f>G452+G460</f>
        <v>1296049.23</v>
      </c>
      <c r="H461" s="42">
        <f>H452+H460</f>
        <v>32409.42</v>
      </c>
      <c r="I461" s="42">
        <f>I452+I460</f>
        <v>1406447.5699999998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1497086.04</v>
      </c>
      <c r="G465" s="18">
        <v>71414.899999999994</v>
      </c>
      <c r="H465" s="18">
        <v>77554.38</v>
      </c>
      <c r="I465" s="18"/>
      <c r="J465" s="18">
        <v>1256984.83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31271342.149999999</v>
      </c>
      <c r="G468" s="18">
        <v>807411.59</v>
      </c>
      <c r="H468" s="18">
        <v>1649062.13</v>
      </c>
      <c r="I468" s="18"/>
      <c r="J468" s="18">
        <v>256556.17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31271342.149999999</v>
      </c>
      <c r="G470" s="53">
        <f>SUM(G468:G469)</f>
        <v>807411.59</v>
      </c>
      <c r="H470" s="53">
        <f>SUM(H468:H469)</f>
        <v>1649062.13</v>
      </c>
      <c r="I470" s="53">
        <f>SUM(I468:I469)</f>
        <v>0</v>
      </c>
      <c r="J470" s="53">
        <f>SUM(J468:J469)</f>
        <v>256556.17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30658967.32</v>
      </c>
      <c r="G472" s="18">
        <v>842451.81</v>
      </c>
      <c r="H472" s="18">
        <v>1599872.57</v>
      </c>
      <c r="I472" s="18"/>
      <c r="J472" s="18">
        <v>180493.43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901.84</v>
      </c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30658967.32</v>
      </c>
      <c r="G474" s="53">
        <f>SUM(G472:G473)</f>
        <v>843353.65</v>
      </c>
      <c r="H474" s="53">
        <f>SUM(H472:H473)</f>
        <v>1599872.57</v>
      </c>
      <c r="I474" s="53">
        <f>SUM(I472:I473)</f>
        <v>0</v>
      </c>
      <c r="J474" s="53">
        <f>SUM(J472:J473)</f>
        <v>180493.43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2109460.8699999973</v>
      </c>
      <c r="G476" s="53">
        <f>(G465+G470)- G474</f>
        <v>35472.839999999967</v>
      </c>
      <c r="H476" s="53">
        <f>(H465+H470)- H474</f>
        <v>126743.93999999971</v>
      </c>
      <c r="I476" s="53">
        <f>(I465+I470)- I474</f>
        <v>0</v>
      </c>
      <c r="J476" s="53">
        <f>(J465+J470)- J474</f>
        <v>1333047.57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42120000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18460000</v>
      </c>
      <c r="G495" s="18"/>
      <c r="H495" s="18"/>
      <c r="I495" s="18"/>
      <c r="J495" s="18"/>
      <c r="K495" s="53">
        <f>SUM(F495:J495)</f>
        <v>18460000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1850000</v>
      </c>
      <c r="G497" s="18"/>
      <c r="H497" s="18"/>
      <c r="I497" s="18"/>
      <c r="J497" s="18"/>
      <c r="K497" s="53">
        <f t="shared" si="35"/>
        <v>1850000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16610000</v>
      </c>
      <c r="G498" s="204"/>
      <c r="H498" s="204"/>
      <c r="I498" s="204"/>
      <c r="J498" s="204"/>
      <c r="K498" s="205">
        <f t="shared" si="35"/>
        <v>16610000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3436826.26</v>
      </c>
      <c r="G499" s="18"/>
      <c r="H499" s="18"/>
      <c r="I499" s="18"/>
      <c r="J499" s="18"/>
      <c r="K499" s="53">
        <f t="shared" si="35"/>
        <v>3436826.26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20046826.259999998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20046826.259999998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1850000</v>
      </c>
      <c r="G501" s="204"/>
      <c r="H501" s="204"/>
      <c r="I501" s="204"/>
      <c r="J501" s="204"/>
      <c r="K501" s="205">
        <f t="shared" si="35"/>
        <v>1850000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346330.75+371393.75</f>
        <v>717724.5</v>
      </c>
      <c r="G502" s="18"/>
      <c r="H502" s="18"/>
      <c r="I502" s="18"/>
      <c r="J502" s="18"/>
      <c r="K502" s="53">
        <f t="shared" si="35"/>
        <v>717724.5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2567724.5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2567724.5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1304838.02</v>
      </c>
      <c r="G521" s="18">
        <v>881243.16</v>
      </c>
      <c r="H521" s="18">
        <v>643994.61</v>
      </c>
      <c r="I521" s="18">
        <v>5559</v>
      </c>
      <c r="J521" s="18">
        <v>6154.05</v>
      </c>
      <c r="K521" s="18"/>
      <c r="L521" s="88">
        <f>SUM(F521:K521)</f>
        <v>2841788.84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422142.6</v>
      </c>
      <c r="G522" s="18">
        <v>299391.69</v>
      </c>
      <c r="H522" s="18">
        <v>70015</v>
      </c>
      <c r="I522" s="18">
        <v>8699.6200000000008</v>
      </c>
      <c r="J522" s="18">
        <v>3762.32</v>
      </c>
      <c r="K522" s="18"/>
      <c r="L522" s="88">
        <f>SUM(F522:K522)</f>
        <v>804011.23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645087.92000000004</v>
      </c>
      <c r="G523" s="18">
        <v>459191.69</v>
      </c>
      <c r="H523" s="18">
        <v>341561.84</v>
      </c>
      <c r="I523" s="18">
        <v>7370.49</v>
      </c>
      <c r="J523" s="18">
        <v>10018.48</v>
      </c>
      <c r="K523" s="18"/>
      <c r="L523" s="88">
        <f>SUM(F523:K523)</f>
        <v>1463230.4200000002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2372068.54</v>
      </c>
      <c r="G524" s="108">
        <f t="shared" ref="G524:L524" si="36">SUM(G521:G523)</f>
        <v>1639826.54</v>
      </c>
      <c r="H524" s="108">
        <f t="shared" si="36"/>
        <v>1055571.45</v>
      </c>
      <c r="I524" s="108">
        <f t="shared" si="36"/>
        <v>21629.11</v>
      </c>
      <c r="J524" s="108">
        <f t="shared" si="36"/>
        <v>19934.849999999999</v>
      </c>
      <c r="K524" s="108">
        <f t="shared" si="36"/>
        <v>0</v>
      </c>
      <c r="L524" s="89">
        <f t="shared" si="36"/>
        <v>5109030.49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242264.51</v>
      </c>
      <c r="G526" s="18">
        <v>145202.91</v>
      </c>
      <c r="H526" s="18">
        <v>245109.38</v>
      </c>
      <c r="I526" s="18">
        <v>744.42</v>
      </c>
      <c r="J526" s="18"/>
      <c r="K526" s="18"/>
      <c r="L526" s="88">
        <f>SUM(F526:K526)</f>
        <v>633321.22000000009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51299.11</v>
      </c>
      <c r="G527" s="18">
        <v>22405.759999999998</v>
      </c>
      <c r="H527" s="18">
        <v>18856.189999999999</v>
      </c>
      <c r="I527" s="18">
        <v>500</v>
      </c>
      <c r="J527" s="18"/>
      <c r="K527" s="18"/>
      <c r="L527" s="88">
        <f>SUM(F527:K527)</f>
        <v>93061.06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178606.26</v>
      </c>
      <c r="G528" s="18">
        <v>96412.9</v>
      </c>
      <c r="H528" s="18">
        <v>1831.18</v>
      </c>
      <c r="I528" s="18">
        <v>807.18</v>
      </c>
      <c r="J528" s="18"/>
      <c r="K528" s="18"/>
      <c r="L528" s="88">
        <f>SUM(F528:K528)</f>
        <v>277657.52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472169.88</v>
      </c>
      <c r="G529" s="89">
        <f t="shared" ref="G529:L529" si="37">SUM(G526:G528)</f>
        <v>264021.57</v>
      </c>
      <c r="H529" s="89">
        <f t="shared" si="37"/>
        <v>265796.75</v>
      </c>
      <c r="I529" s="89">
        <f t="shared" si="37"/>
        <v>2051.6</v>
      </c>
      <c r="J529" s="89">
        <f t="shared" si="37"/>
        <v>0</v>
      </c>
      <c r="K529" s="89">
        <f t="shared" si="37"/>
        <v>0</v>
      </c>
      <c r="L529" s="89">
        <f t="shared" si="37"/>
        <v>1004039.8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61365.73</v>
      </c>
      <c r="I531" s="18"/>
      <c r="J531" s="18"/>
      <c r="K531" s="18"/>
      <c r="L531" s="88">
        <f>SUM(F531:K531)</f>
        <v>61365.73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23436.15</v>
      </c>
      <c r="I532" s="18"/>
      <c r="J532" s="18"/>
      <c r="K532" s="18"/>
      <c r="L532" s="88">
        <f>SUM(F532:K532)</f>
        <v>23436.15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68383.350000000006</v>
      </c>
      <c r="I533" s="18"/>
      <c r="J533" s="18"/>
      <c r="K533" s="18"/>
      <c r="L533" s="88">
        <f>SUM(F533:K533)</f>
        <v>68383.350000000006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153185.23000000001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153185.23000000001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38647.360000000001</v>
      </c>
      <c r="G541" s="18">
        <v>13364.25</v>
      </c>
      <c r="H541" s="18">
        <v>27636.86</v>
      </c>
      <c r="I541" s="18"/>
      <c r="J541" s="18"/>
      <c r="K541" s="18"/>
      <c r="L541" s="88">
        <f>SUM(F541:K541)</f>
        <v>79648.47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7832.53</v>
      </c>
      <c r="G542" s="18">
        <v>2708.49</v>
      </c>
      <c r="H542" s="18">
        <v>15226.4</v>
      </c>
      <c r="I542" s="18"/>
      <c r="J542" s="18"/>
      <c r="K542" s="18"/>
      <c r="L542" s="88">
        <f>SUM(F542:K542)</f>
        <v>25767.42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5152.9799999999996</v>
      </c>
      <c r="G543" s="18">
        <v>1781.9</v>
      </c>
      <c r="H543" s="18">
        <v>24536.42</v>
      </c>
      <c r="I543" s="18"/>
      <c r="J543" s="18"/>
      <c r="K543" s="18"/>
      <c r="L543" s="88">
        <f>SUM(F543:K543)</f>
        <v>31471.299999999996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51632.869999999995</v>
      </c>
      <c r="G544" s="193">
        <f t="shared" ref="G544:L544" si="40">SUM(G541:G543)</f>
        <v>17854.64</v>
      </c>
      <c r="H544" s="193">
        <f t="shared" si="40"/>
        <v>67399.679999999993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136887.19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2895871.29</v>
      </c>
      <c r="G545" s="89">
        <f t="shared" ref="G545:L545" si="41">G524+G529+G534+G539+G544</f>
        <v>1921702.75</v>
      </c>
      <c r="H545" s="89">
        <f t="shared" si="41"/>
        <v>1541953.1099999999</v>
      </c>
      <c r="I545" s="89">
        <f t="shared" si="41"/>
        <v>23680.71</v>
      </c>
      <c r="J545" s="89">
        <f t="shared" si="41"/>
        <v>19934.849999999999</v>
      </c>
      <c r="K545" s="89">
        <f t="shared" si="41"/>
        <v>0</v>
      </c>
      <c r="L545" s="89">
        <f t="shared" si="41"/>
        <v>6403142.7100000009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2841788.84</v>
      </c>
      <c r="G549" s="87">
        <f>L526</f>
        <v>633321.22000000009</v>
      </c>
      <c r="H549" s="87">
        <f>L531</f>
        <v>61365.73</v>
      </c>
      <c r="I549" s="87">
        <f>L536</f>
        <v>0</v>
      </c>
      <c r="J549" s="87">
        <f>L541</f>
        <v>79648.47</v>
      </c>
      <c r="K549" s="87">
        <f>SUM(F549:J549)</f>
        <v>3616124.2600000002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804011.23</v>
      </c>
      <c r="G550" s="87">
        <f>L527</f>
        <v>93061.06</v>
      </c>
      <c r="H550" s="87">
        <f>L532</f>
        <v>23436.15</v>
      </c>
      <c r="I550" s="87">
        <f>L537</f>
        <v>0</v>
      </c>
      <c r="J550" s="87">
        <f>L542</f>
        <v>25767.42</v>
      </c>
      <c r="K550" s="87">
        <f>SUM(F550:J550)</f>
        <v>946275.8600000001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1463230.4200000002</v>
      </c>
      <c r="G551" s="87">
        <f>L528</f>
        <v>277657.52</v>
      </c>
      <c r="H551" s="87">
        <f>L533</f>
        <v>68383.350000000006</v>
      </c>
      <c r="I551" s="87">
        <f>L538</f>
        <v>0</v>
      </c>
      <c r="J551" s="87">
        <f>L543</f>
        <v>31471.299999999996</v>
      </c>
      <c r="K551" s="87">
        <f>SUM(F551:J551)</f>
        <v>1840742.5900000003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5109030.49</v>
      </c>
      <c r="G552" s="89">
        <f t="shared" si="42"/>
        <v>1004039.8</v>
      </c>
      <c r="H552" s="89">
        <f t="shared" si="42"/>
        <v>153185.23000000001</v>
      </c>
      <c r="I552" s="89">
        <f t="shared" si="42"/>
        <v>0</v>
      </c>
      <c r="J552" s="89">
        <f t="shared" si="42"/>
        <v>136887.19</v>
      </c>
      <c r="K552" s="89">
        <f t="shared" si="42"/>
        <v>6403142.7100000009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22035</v>
      </c>
      <c r="I578" s="87">
        <f t="shared" si="47"/>
        <v>22035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5445</v>
      </c>
      <c r="G579" s="18"/>
      <c r="H579" s="18"/>
      <c r="I579" s="87">
        <f t="shared" si="47"/>
        <v>5445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4347.2</v>
      </c>
      <c r="G580" s="18"/>
      <c r="H580" s="18"/>
      <c r="I580" s="87">
        <f t="shared" si="47"/>
        <v>4347.2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367498.9</v>
      </c>
      <c r="G582" s="18">
        <v>69015</v>
      </c>
      <c r="H582" s="18">
        <v>196314.95</v>
      </c>
      <c r="I582" s="87">
        <f t="shared" si="47"/>
        <v>632828.85000000009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62174.720000000001</v>
      </c>
      <c r="G583" s="18"/>
      <c r="H583" s="18">
        <v>127929.87</v>
      </c>
      <c r="I583" s="87">
        <f t="shared" si="47"/>
        <v>190104.59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189016.78</v>
      </c>
      <c r="I591" s="18">
        <v>69234.48</v>
      </c>
      <c r="J591" s="18">
        <v>205288.67</v>
      </c>
      <c r="K591" s="104">
        <f t="shared" ref="K591:K597" si="48">SUM(H591:J591)</f>
        <v>463539.93000000005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79648.47</v>
      </c>
      <c r="I592" s="18">
        <v>25767.42</v>
      </c>
      <c r="J592" s="18">
        <v>31471.3</v>
      </c>
      <c r="K592" s="104">
        <f t="shared" si="48"/>
        <v>136887.19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9317.16</v>
      </c>
      <c r="J594" s="18">
        <v>42505.760000000002</v>
      </c>
      <c r="K594" s="104">
        <f t="shared" si="48"/>
        <v>51822.92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19194.73</v>
      </c>
      <c r="I595" s="18">
        <v>4000.43</v>
      </c>
      <c r="J595" s="18">
        <v>4307.99</v>
      </c>
      <c r="K595" s="104">
        <f t="shared" si="48"/>
        <v>27503.15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17573.54</v>
      </c>
      <c r="I597" s="18"/>
      <c r="J597" s="18"/>
      <c r="K597" s="104">
        <f t="shared" si="48"/>
        <v>17573.54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305433.51999999996</v>
      </c>
      <c r="I598" s="108">
        <f>SUM(I591:I597)</f>
        <v>108319.48999999999</v>
      </c>
      <c r="J598" s="108">
        <f>SUM(J591:J597)</f>
        <v>283573.71999999997</v>
      </c>
      <c r="K598" s="108">
        <f>SUM(K591:K597)</f>
        <v>697326.73000000021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212258.49</v>
      </c>
      <c r="I604" s="18">
        <v>85669.38</v>
      </c>
      <c r="J604" s="18">
        <f>209046.6+3255.7</f>
        <v>212302.30000000002</v>
      </c>
      <c r="K604" s="104">
        <f>SUM(H604:J604)</f>
        <v>510230.17000000004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212258.49</v>
      </c>
      <c r="I605" s="108">
        <f>SUM(I602:I604)</f>
        <v>85669.38</v>
      </c>
      <c r="J605" s="108">
        <f>SUM(J602:J604)</f>
        <v>212302.30000000002</v>
      </c>
      <c r="K605" s="108">
        <f>SUM(K602:K604)</f>
        <v>510230.17000000004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4788</v>
      </c>
      <c r="G612" s="18">
        <v>1069.1400000000001</v>
      </c>
      <c r="H612" s="18"/>
      <c r="I612" s="18"/>
      <c r="J612" s="18"/>
      <c r="K612" s="18"/>
      <c r="L612" s="88">
        <f>SUM(F612:K612)</f>
        <v>5857.14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9100</v>
      </c>
      <c r="G613" s="18">
        <v>1779.56</v>
      </c>
      <c r="H613" s="18"/>
      <c r="I613" s="18"/>
      <c r="J613" s="18"/>
      <c r="K613" s="18"/>
      <c r="L613" s="88">
        <f>SUM(F613:K613)</f>
        <v>10879.56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13888</v>
      </c>
      <c r="G614" s="108">
        <f t="shared" si="49"/>
        <v>2848.7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16736.7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2227096.4499999997</v>
      </c>
      <c r="H617" s="109">
        <f>SUM(F52)</f>
        <v>2227096.4500000002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527974.05000000005</v>
      </c>
      <c r="H618" s="109">
        <f>SUM(G52)</f>
        <v>527974.05000000005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418261.04</v>
      </c>
      <c r="H619" s="109">
        <f>SUM(H52)</f>
        <v>418261.04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1406447.5699999998</v>
      </c>
      <c r="H621" s="109">
        <f>SUM(J52)</f>
        <v>1406447.5699999998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2109460.87</v>
      </c>
      <c r="H622" s="109">
        <f>F476</f>
        <v>2109460.8699999973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35472.839999999997</v>
      </c>
      <c r="H623" s="109">
        <f>G476</f>
        <v>35472.839999999967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126743.94</v>
      </c>
      <c r="H624" s="109">
        <f>H476</f>
        <v>126743.93999999971</v>
      </c>
      <c r="I624" s="121" t="s">
        <v>103</v>
      </c>
      <c r="J624" s="109">
        <f t="shared" si="50"/>
        <v>2.9103830456733704E-10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1333047.5699999998</v>
      </c>
      <c r="H626" s="109">
        <f>J476</f>
        <v>1333047.57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31271342.149999999</v>
      </c>
      <c r="H627" s="104">
        <f>SUM(F468)</f>
        <v>31271342.149999999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807411.59000000008</v>
      </c>
      <c r="H628" s="104">
        <f>SUM(G468)</f>
        <v>807411.59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1649062.1300000004</v>
      </c>
      <c r="H629" s="104">
        <f>SUM(H468)</f>
        <v>1649062.13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256556.17</v>
      </c>
      <c r="H631" s="104">
        <f>SUM(J468)</f>
        <v>256556.17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30658967.32</v>
      </c>
      <c r="H632" s="104">
        <f>SUM(F472)</f>
        <v>30658967.32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1599872.57</v>
      </c>
      <c r="H633" s="104">
        <f>SUM(H472)</f>
        <v>1599872.57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318774.17</v>
      </c>
      <c r="H634" s="104">
        <f>I369</f>
        <v>318774.17000000004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842451.81</v>
      </c>
      <c r="H635" s="104">
        <f>SUM(G472)</f>
        <v>842451.81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256556.17000000004</v>
      </c>
      <c r="H637" s="164">
        <f>SUM(J468)</f>
        <v>256556.17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180493.43</v>
      </c>
      <c r="H638" s="164">
        <f>SUM(J472)</f>
        <v>180493.43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77988.92</v>
      </c>
      <c r="H639" s="104">
        <f>SUM(F461)</f>
        <v>77988.92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1296049.23</v>
      </c>
      <c r="H640" s="104">
        <f>SUM(G461)</f>
        <v>1296049.23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32409.42</v>
      </c>
      <c r="H641" s="104">
        <f>SUM(H461)</f>
        <v>32409.42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1406447.5699999998</v>
      </c>
      <c r="H642" s="104">
        <f>SUM(I461)</f>
        <v>1406447.5699999998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127.17</v>
      </c>
      <c r="H644" s="104">
        <f>H408</f>
        <v>127.17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256429</v>
      </c>
      <c r="H645" s="104">
        <f>G408</f>
        <v>256429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256556.17</v>
      </c>
      <c r="H646" s="104">
        <f>L408</f>
        <v>256556.17000000004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697326.73000000021</v>
      </c>
      <c r="H647" s="104">
        <f>L208+L226+L244</f>
        <v>697326.73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510230.17000000004</v>
      </c>
      <c r="H648" s="104">
        <f>(J257+J338)-(J255+J336)</f>
        <v>510230.17000000004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305433.52</v>
      </c>
      <c r="H649" s="104">
        <f>H598</f>
        <v>305433.51999999996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108319.49</v>
      </c>
      <c r="H650" s="104">
        <f>I598</f>
        <v>108319.48999999999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283573.71999999997</v>
      </c>
      <c r="H651" s="104">
        <f>J598</f>
        <v>283573.71999999997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256429</v>
      </c>
      <c r="H655" s="104">
        <f>K266+K347</f>
        <v>256429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13097835.83</v>
      </c>
      <c r="G660" s="19">
        <f>(L229+L309+L359)</f>
        <v>4908463.5</v>
      </c>
      <c r="H660" s="19">
        <f>(L247+L328+L360)</f>
        <v>12135603.020000001</v>
      </c>
      <c r="I660" s="19">
        <f>SUM(F660:H660)</f>
        <v>30141902.350000001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118900.12250362427</v>
      </c>
      <c r="G661" s="19">
        <f>(L359/IF(SUM(L358:L360)=0,1,SUM(L358:L360))*(SUM(G97:G110)))</f>
        <v>45409.079092132284</v>
      </c>
      <c r="H661" s="19">
        <f>(L360/IF(SUM(L358:L360)=0,1,SUM(L358:L360))*(SUM(G97:G110)))</f>
        <v>134434.79840424343</v>
      </c>
      <c r="I661" s="19">
        <f>SUM(F661:H661)</f>
        <v>298744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295145.2</v>
      </c>
      <c r="G662" s="19">
        <f>(L226+L306)-(J226+J306)</f>
        <v>99084.49</v>
      </c>
      <c r="H662" s="19">
        <f>(L244+L325)-(J244+J325)</f>
        <v>259157.5</v>
      </c>
      <c r="I662" s="19">
        <f>SUM(F662:H662)</f>
        <v>653387.18999999994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651724.31000000006</v>
      </c>
      <c r="G663" s="199">
        <f>SUM(G575:G587)+SUM(I602:I604)+L612</f>
        <v>160541.52000000002</v>
      </c>
      <c r="H663" s="199">
        <f>SUM(H575:H587)+SUM(J602:J604)+L613</f>
        <v>569461.68000000005</v>
      </c>
      <c r="I663" s="19">
        <f>SUM(F663:H663)</f>
        <v>1381727.5100000002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12032066.197496375</v>
      </c>
      <c r="G664" s="19">
        <f>G660-SUM(G661:G663)</f>
        <v>4603428.4109078674</v>
      </c>
      <c r="H664" s="19">
        <f>H660-SUM(H661:H663)</f>
        <v>11172549.041595757</v>
      </c>
      <c r="I664" s="19">
        <f>I660-SUM(I661:I663)</f>
        <v>27808043.650000002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738.69</v>
      </c>
      <c r="G665" s="248">
        <v>283</v>
      </c>
      <c r="H665" s="248">
        <v>794.32</v>
      </c>
      <c r="I665" s="19">
        <f>SUM(F665:H665)</f>
        <v>1816.0100000000002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16288.38</v>
      </c>
      <c r="G667" s="19">
        <f>ROUND(G664/G665,2)</f>
        <v>16266.53</v>
      </c>
      <c r="H667" s="19">
        <f>ROUND(H664/H665,2)</f>
        <v>14065.55</v>
      </c>
      <c r="I667" s="19">
        <f>ROUND(I664/I665,2)</f>
        <v>15312.72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16288.38</v>
      </c>
      <c r="G672" s="19">
        <f>ROUND((G664+G669)/(G665+G670),2)</f>
        <v>16266.53</v>
      </c>
      <c r="H672" s="19">
        <f>ROUND((H664+H669)/(H665+H670),2)</f>
        <v>14065.55</v>
      </c>
      <c r="I672" s="19">
        <f>ROUND((I664+I669)/(I665+I670),2)</f>
        <v>15312.72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CONWAY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6764300.3300000001</v>
      </c>
      <c r="C9" s="229">
        <f>'DOE25'!G197+'DOE25'!G215+'DOE25'!G233+'DOE25'!G276+'DOE25'!G295+'DOE25'!G314</f>
        <v>4773991.1100000003</v>
      </c>
    </row>
    <row r="10" spans="1:3" x14ac:dyDescent="0.2">
      <c r="A10" t="s">
        <v>779</v>
      </c>
      <c r="B10" s="240">
        <v>5805800.9199999999</v>
      </c>
      <c r="C10" s="240">
        <v>4424250.4800000004</v>
      </c>
    </row>
    <row r="11" spans="1:3" x14ac:dyDescent="0.2">
      <c r="A11" t="s">
        <v>780</v>
      </c>
      <c r="B11" s="240">
        <f>241554.06+57024.15</f>
        <v>298578.21000000002</v>
      </c>
      <c r="C11" s="240">
        <f>179689.95+4362.35</f>
        <v>184052.30000000002</v>
      </c>
    </row>
    <row r="12" spans="1:3" x14ac:dyDescent="0.2">
      <c r="A12" t="s">
        <v>781</v>
      </c>
      <c r="B12" s="240">
        <f>595166.44+64754.76</f>
        <v>659921.19999999995</v>
      </c>
      <c r="C12" s="240">
        <f>130610.14+35078.19</f>
        <v>165688.33000000002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6764300.3300000001</v>
      </c>
      <c r="C13" s="231">
        <f>SUM(C10:C12)</f>
        <v>4773991.1100000003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2372068.54</v>
      </c>
      <c r="C18" s="229">
        <f>'DOE25'!G198+'DOE25'!G216+'DOE25'!G234+'DOE25'!G277+'DOE25'!G296+'DOE25'!G315</f>
        <v>1639826.54</v>
      </c>
    </row>
    <row r="19" spans="1:3" x14ac:dyDescent="0.2">
      <c r="A19" t="s">
        <v>779</v>
      </c>
      <c r="B19" s="240">
        <v>1111770.07</v>
      </c>
      <c r="C19" s="240">
        <v>649625.16</v>
      </c>
    </row>
    <row r="20" spans="1:3" x14ac:dyDescent="0.2">
      <c r="A20" t="s">
        <v>780</v>
      </c>
      <c r="B20" s="240">
        <v>1192381.75</v>
      </c>
      <c r="C20" s="240">
        <v>981897.38</v>
      </c>
    </row>
    <row r="21" spans="1:3" x14ac:dyDescent="0.2">
      <c r="A21" t="s">
        <v>781</v>
      </c>
      <c r="B21" s="240">
        <f>64678.72+3238</f>
        <v>67916.72</v>
      </c>
      <c r="C21" s="240">
        <f>8055.88+248.12</f>
        <v>8304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2372068.5400000005</v>
      </c>
      <c r="C22" s="231">
        <f>SUM(C19:C21)</f>
        <v>1639826.54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446512.32</v>
      </c>
      <c r="C27" s="234">
        <f>'DOE25'!G199+'DOE25'!G217+'DOE25'!G235+'DOE25'!G278+'DOE25'!G297+'DOE25'!G316</f>
        <v>230657.51</v>
      </c>
    </row>
    <row r="28" spans="1:3" x14ac:dyDescent="0.2">
      <c r="A28" t="s">
        <v>779</v>
      </c>
      <c r="B28" s="240">
        <v>390994.2</v>
      </c>
      <c r="C28" s="240">
        <v>214009.47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55518.12</v>
      </c>
      <c r="C30" s="240">
        <v>16648.04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446512.32</v>
      </c>
      <c r="C31" s="231">
        <f>SUM(C28:C30)</f>
        <v>230657.51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419166.16000000003</v>
      </c>
      <c r="C36" s="235">
        <f>'DOE25'!G200+'DOE25'!G218+'DOE25'!G236+'DOE25'!G279+'DOE25'!G298+'DOE25'!G317</f>
        <v>71563.13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419166.16</v>
      </c>
      <c r="C39" s="240">
        <v>71563.13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419166.16</v>
      </c>
      <c r="C40" s="231">
        <f>SUM(C37:C39)</f>
        <v>71563.13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37" sqref="D3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CONWAY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17808000.710000001</v>
      </c>
      <c r="D5" s="20">
        <f>SUM('DOE25'!L197:L200)+SUM('DOE25'!L215:L218)+SUM('DOE25'!L233:L236)-F5-G5</f>
        <v>17580585.430000003</v>
      </c>
      <c r="E5" s="243"/>
      <c r="F5" s="255">
        <f>SUM('DOE25'!J197:J200)+SUM('DOE25'!J215:J218)+SUM('DOE25'!J233:J236)</f>
        <v>215739.83</v>
      </c>
      <c r="G5" s="53">
        <f>SUM('DOE25'!K197:K200)+SUM('DOE25'!K215:K218)+SUM('DOE25'!K233:K236)</f>
        <v>11675.45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2172717.92</v>
      </c>
      <c r="D6" s="20">
        <f>'DOE25'!L202+'DOE25'!L220+'DOE25'!L238-F6-G6</f>
        <v>2171293.89</v>
      </c>
      <c r="E6" s="243"/>
      <c r="F6" s="255">
        <f>'DOE25'!J202+'DOE25'!J220+'DOE25'!J238</f>
        <v>1255.03</v>
      </c>
      <c r="G6" s="53">
        <f>'DOE25'!K202+'DOE25'!K220+'DOE25'!K238</f>
        <v>169</v>
      </c>
      <c r="H6" s="259"/>
    </row>
    <row r="7" spans="1:9" x14ac:dyDescent="0.2">
      <c r="A7" s="32">
        <v>2200</v>
      </c>
      <c r="B7" t="s">
        <v>834</v>
      </c>
      <c r="C7" s="245">
        <f t="shared" si="0"/>
        <v>544494.71</v>
      </c>
      <c r="D7" s="20">
        <f>'DOE25'!L203+'DOE25'!L221+'DOE25'!L239-F7-G7</f>
        <v>509347.17999999993</v>
      </c>
      <c r="E7" s="243"/>
      <c r="F7" s="255">
        <f>'DOE25'!J203+'DOE25'!J221+'DOE25'!J239</f>
        <v>33173.53</v>
      </c>
      <c r="G7" s="53">
        <f>'DOE25'!K203+'DOE25'!K221+'DOE25'!K239</f>
        <v>1974</v>
      </c>
      <c r="H7" s="259"/>
    </row>
    <row r="8" spans="1:9" x14ac:dyDescent="0.2">
      <c r="A8" s="32">
        <v>2300</v>
      </c>
      <c r="B8" t="s">
        <v>802</v>
      </c>
      <c r="C8" s="245">
        <f t="shared" si="0"/>
        <v>660850.63000000012</v>
      </c>
      <c r="D8" s="243"/>
      <c r="E8" s="20">
        <f>'DOE25'!L204+'DOE25'!L222+'DOE25'!L240-F8-G8-D9-D11</f>
        <v>655344.37000000011</v>
      </c>
      <c r="F8" s="255">
        <f>'DOE25'!J204+'DOE25'!J222+'DOE25'!J240</f>
        <v>0</v>
      </c>
      <c r="G8" s="53">
        <f>'DOE25'!K204+'DOE25'!K222+'DOE25'!K240</f>
        <v>5506.26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150609.1</v>
      </c>
      <c r="D9" s="244">
        <v>150609.1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15670</v>
      </c>
      <c r="D10" s="243"/>
      <c r="E10" s="244">
        <v>15670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225565.46</v>
      </c>
      <c r="D11" s="244">
        <v>225565.46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1517269.8599999999</v>
      </c>
      <c r="D12" s="20">
        <f>'DOE25'!L205+'DOE25'!L223+'DOE25'!L241-F12-G12</f>
        <v>1486628.41</v>
      </c>
      <c r="E12" s="243"/>
      <c r="F12" s="255">
        <f>'DOE25'!J205+'DOE25'!J223+'DOE25'!J241</f>
        <v>8986.4500000000007</v>
      </c>
      <c r="G12" s="53">
        <f>'DOE25'!K205+'DOE25'!K223+'DOE25'!K241</f>
        <v>21655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3962438.9499999997</v>
      </c>
      <c r="D14" s="20">
        <f>'DOE25'!L207+'DOE25'!L225+'DOE25'!L243-F14-G14</f>
        <v>3911137.6399999997</v>
      </c>
      <c r="E14" s="243"/>
      <c r="F14" s="255">
        <f>'DOE25'!J207+'DOE25'!J225+'DOE25'!J243</f>
        <v>51301.310000000005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697326.73</v>
      </c>
      <c r="D15" s="20">
        <f>'DOE25'!L208+'DOE25'!L226+'DOE25'!L244-F15-G15</f>
        <v>636552.73</v>
      </c>
      <c r="E15" s="243"/>
      <c r="F15" s="255">
        <f>'DOE25'!J208+'DOE25'!J226+'DOE25'!J244</f>
        <v>60774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3039.75</v>
      </c>
      <c r="D16" s="243"/>
      <c r="E16" s="20">
        <f>'DOE25'!L209+'DOE25'!L227+'DOE25'!L245-F16-G16</f>
        <v>3039.75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2660224.5</v>
      </c>
      <c r="D25" s="243"/>
      <c r="E25" s="243"/>
      <c r="F25" s="258"/>
      <c r="G25" s="256"/>
      <c r="H25" s="257">
        <f>'DOE25'!L260+'DOE25'!L261+'DOE25'!L341+'DOE25'!L342</f>
        <v>2660224.5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545648.47</v>
      </c>
      <c r="D29" s="20">
        <f>'DOE25'!L358+'DOE25'!L359+'DOE25'!L360-'DOE25'!I367-F29-G29</f>
        <v>539924.19999999995</v>
      </c>
      <c r="E29" s="243"/>
      <c r="F29" s="255">
        <f>'DOE25'!J358+'DOE25'!J359+'DOE25'!J360</f>
        <v>5724.27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1599872.57</v>
      </c>
      <c r="D31" s="20">
        <f>'DOE25'!L290+'DOE25'!L309+'DOE25'!L328+'DOE25'!L333+'DOE25'!L334+'DOE25'!L335-F31-G31</f>
        <v>1458611.49</v>
      </c>
      <c r="E31" s="243"/>
      <c r="F31" s="255">
        <f>'DOE25'!J290+'DOE25'!J309+'DOE25'!J328+'DOE25'!J333+'DOE25'!J334+'DOE25'!J335</f>
        <v>139000.02000000002</v>
      </c>
      <c r="G31" s="53">
        <f>'DOE25'!K290+'DOE25'!K309+'DOE25'!K328+'DOE25'!K333+'DOE25'!K334+'DOE25'!K335</f>
        <v>2261.06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28670255.530000005</v>
      </c>
      <c r="E33" s="246">
        <f>SUM(E5:E31)</f>
        <v>674054.12000000011</v>
      </c>
      <c r="F33" s="246">
        <f>SUM(F5:F31)</f>
        <v>515954.44000000006</v>
      </c>
      <c r="G33" s="246">
        <f>SUM(G5:G31)</f>
        <v>43240.77</v>
      </c>
      <c r="H33" s="246">
        <f>SUM(H5:H31)</f>
        <v>2660224.5</v>
      </c>
    </row>
    <row r="35" spans="2:8" ht="12" thickBot="1" x14ac:dyDescent="0.25">
      <c r="B35" s="253" t="s">
        <v>847</v>
      </c>
      <c r="D35" s="254">
        <f>E33</f>
        <v>674054.12000000011</v>
      </c>
      <c r="E35" s="249"/>
    </row>
    <row r="36" spans="2:8" ht="12" thickTop="1" x14ac:dyDescent="0.2">
      <c r="B36" t="s">
        <v>815</v>
      </c>
      <c r="D36" s="20">
        <f>D33</f>
        <v>28670255.530000005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CONWAY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1263721.75</v>
      </c>
      <c r="D8" s="95">
        <f>'DOE25'!G9</f>
        <v>382475.74</v>
      </c>
      <c r="E8" s="95">
        <f>'DOE25'!H9</f>
        <v>0</v>
      </c>
      <c r="F8" s="95">
        <f>'DOE25'!I9</f>
        <v>0</v>
      </c>
      <c r="G8" s="95">
        <f>'DOE25'!J9</f>
        <v>1406447.5699999998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854505.57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87199.67</v>
      </c>
      <c r="D12" s="95">
        <f>'DOE25'!G13</f>
        <v>121976.53</v>
      </c>
      <c r="E12" s="95">
        <f>'DOE25'!H13</f>
        <v>415029.54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21669.46</v>
      </c>
      <c r="D13" s="95">
        <f>'DOE25'!G14</f>
        <v>2872.85</v>
      </c>
      <c r="E13" s="95">
        <f>'DOE25'!H14</f>
        <v>3231.5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20648.93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2227096.4499999997</v>
      </c>
      <c r="D18" s="41">
        <f>SUM(D8:D17)</f>
        <v>527974.05000000005</v>
      </c>
      <c r="E18" s="41">
        <f>SUM(E8:E17)</f>
        <v>418261.04</v>
      </c>
      <c r="F18" s="41">
        <f>SUM(F8:F17)</f>
        <v>0</v>
      </c>
      <c r="G18" s="41">
        <f>SUM(G8:G17)</f>
        <v>1406447.5699999998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492326.21</v>
      </c>
      <c r="E21" s="95">
        <f>'DOE25'!H22</f>
        <v>290071.03999999998</v>
      </c>
      <c r="F21" s="95">
        <f>'DOE25'!I22</f>
        <v>0</v>
      </c>
      <c r="G21" s="95">
        <f>'DOE25'!J22</f>
        <v>73400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74661.600000000006</v>
      </c>
      <c r="D23" s="95">
        <f>'DOE25'!G24</f>
        <v>175</v>
      </c>
      <c r="E23" s="95">
        <f>'DOE25'!H24</f>
        <v>1446.06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42101.23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872.75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117635.58000000002</v>
      </c>
      <c r="D31" s="41">
        <f>SUM(D21:D30)</f>
        <v>492501.21</v>
      </c>
      <c r="E31" s="41">
        <f>SUM(E21:E30)</f>
        <v>291517.09999999998</v>
      </c>
      <c r="F31" s="41">
        <f>SUM(F21:F30)</f>
        <v>0</v>
      </c>
      <c r="G31" s="41">
        <f>SUM(G21:G30)</f>
        <v>73400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20648.93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411328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14823.91</v>
      </c>
      <c r="E47" s="95">
        <f>'DOE25'!H48</f>
        <v>126743.94</v>
      </c>
      <c r="F47" s="95">
        <f>'DOE25'!I48</f>
        <v>0</v>
      </c>
      <c r="G47" s="95">
        <f>'DOE25'!J48</f>
        <v>1333047.5699999998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1698132.87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2109460.87</v>
      </c>
      <c r="D50" s="41">
        <f>SUM(D34:D49)</f>
        <v>35472.839999999997</v>
      </c>
      <c r="E50" s="41">
        <f>SUM(E34:E49)</f>
        <v>126743.94</v>
      </c>
      <c r="F50" s="41">
        <f>SUM(F34:F49)</f>
        <v>0</v>
      </c>
      <c r="G50" s="41">
        <f>SUM(G34:G49)</f>
        <v>1333047.5699999998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2227096.4500000002</v>
      </c>
      <c r="D51" s="41">
        <f>D50+D31</f>
        <v>527974.05000000005</v>
      </c>
      <c r="E51" s="41">
        <f>E50+E31</f>
        <v>418261.04</v>
      </c>
      <c r="F51" s="41">
        <f>F50+F31</f>
        <v>0</v>
      </c>
      <c r="G51" s="41">
        <f>G50+G31</f>
        <v>1406447.5699999998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12946998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9374828.0399999991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37856.870000000003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1744.77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127.17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298744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439234.57</v>
      </c>
      <c r="D61" s="95">
        <f>SUM('DOE25'!G98:G110)</f>
        <v>0</v>
      </c>
      <c r="E61" s="95">
        <f>SUM('DOE25'!H98:H110)</f>
        <v>177420.27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9853664.2499999981</v>
      </c>
      <c r="D62" s="130">
        <f>SUM(D57:D61)</f>
        <v>298744</v>
      </c>
      <c r="E62" s="130">
        <f>SUM(E57:E61)</f>
        <v>177420.27</v>
      </c>
      <c r="F62" s="130">
        <f>SUM(F57:F61)</f>
        <v>0</v>
      </c>
      <c r="G62" s="130">
        <f>SUM(G57:G61)</f>
        <v>127.17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22800662.25</v>
      </c>
      <c r="D63" s="22">
        <f>D56+D62</f>
        <v>298744</v>
      </c>
      <c r="E63" s="22">
        <f>E56+E62</f>
        <v>177420.27</v>
      </c>
      <c r="F63" s="22">
        <f>F56+F62</f>
        <v>0</v>
      </c>
      <c r="G63" s="22">
        <f>G56+G62</f>
        <v>127.17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3009784.03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3506115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11273.06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6527172.0899999989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1060664.0900000001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317684.46999999997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11047.95</v>
      </c>
      <c r="E77" s="95">
        <f>SUM('DOE25'!H131:H135)</f>
        <v>45285.85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1378348.56</v>
      </c>
      <c r="D78" s="130">
        <f>SUM(D72:D77)</f>
        <v>11047.95</v>
      </c>
      <c r="E78" s="130">
        <f>SUM(E72:E77)</f>
        <v>45285.85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7905520.6499999985</v>
      </c>
      <c r="D81" s="130">
        <f>SUM(D79:D80)+D78+D70</f>
        <v>11047.95</v>
      </c>
      <c r="E81" s="130">
        <f>SUM(E79:E80)+E78+E70</f>
        <v>45285.85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384711.59</v>
      </c>
      <c r="D88" s="95">
        <f>SUM('DOE25'!G153:G161)</f>
        <v>497619.64</v>
      </c>
      <c r="E88" s="95">
        <f>SUM('DOE25'!H153:H161)</f>
        <v>1426356.0100000002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954.23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385665.82</v>
      </c>
      <c r="D91" s="131">
        <f>SUM(D85:D90)</f>
        <v>497619.64</v>
      </c>
      <c r="E91" s="131">
        <f>SUM(E85:E90)</f>
        <v>1426356.0100000002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256429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60774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118719.43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179493.43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256429</v>
      </c>
    </row>
    <row r="104" spans="1:7" ht="12.75" thickTop="1" thickBot="1" x14ac:dyDescent="0.25">
      <c r="A104" s="33" t="s">
        <v>765</v>
      </c>
      <c r="C104" s="86">
        <f>C63+C81+C91+C103</f>
        <v>31271342.149999999</v>
      </c>
      <c r="D104" s="86">
        <f>D63+D81+D91+D103</f>
        <v>807411.59000000008</v>
      </c>
      <c r="E104" s="86">
        <f>E63+E81+E91+E103</f>
        <v>1649062.1300000004</v>
      </c>
      <c r="F104" s="86">
        <f>F63+F81+F91+F103</f>
        <v>0</v>
      </c>
      <c r="G104" s="86">
        <f>G63+G81+G103</f>
        <v>256556.17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11555650.5</v>
      </c>
      <c r="D109" s="24" t="s">
        <v>289</v>
      </c>
      <c r="E109" s="95">
        <f>('DOE25'!L276)+('DOE25'!L295)+('DOE25'!L314)</f>
        <v>679711.6399999999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5037966.51</v>
      </c>
      <c r="D110" s="24" t="s">
        <v>289</v>
      </c>
      <c r="E110" s="95">
        <f>('DOE25'!L277)+('DOE25'!L296)+('DOE25'!L315)</f>
        <v>71063.98000000001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765931.33</v>
      </c>
      <c r="D111" s="24" t="s">
        <v>289</v>
      </c>
      <c r="E111" s="95">
        <f>('DOE25'!L278)+('DOE25'!L297)+('DOE25'!L316)</f>
        <v>68611.98000000001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448452.37000000005</v>
      </c>
      <c r="D112" s="24" t="s">
        <v>289</v>
      </c>
      <c r="E112" s="95">
        <f>+('DOE25'!L279)+('DOE25'!L298)+('DOE25'!L317)</f>
        <v>223680.50000000003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42735.85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17808000.710000001</v>
      </c>
      <c r="D115" s="86">
        <f>SUM(D109:D114)</f>
        <v>0</v>
      </c>
      <c r="E115" s="86">
        <f>SUM(E109:E114)</f>
        <v>1085803.95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2172717.92</v>
      </c>
      <c r="D118" s="24" t="s">
        <v>289</v>
      </c>
      <c r="E118" s="95">
        <f>+('DOE25'!L281)+('DOE25'!L300)+('DOE25'!L319)</f>
        <v>290270.78000000003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544494.71</v>
      </c>
      <c r="D119" s="24" t="s">
        <v>289</v>
      </c>
      <c r="E119" s="95">
        <f>+('DOE25'!L282)+('DOE25'!L301)+('DOE25'!L320)</f>
        <v>206963.38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1037025.1900000001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1517269.8599999999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3962438.9499999997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697326.73</v>
      </c>
      <c r="D124" s="24" t="s">
        <v>289</v>
      </c>
      <c r="E124" s="95">
        <f>+('DOE25'!L287)+('DOE25'!L306)+('DOE25'!L325)</f>
        <v>16834.46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3039.75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842451.81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9934313.1099999994</v>
      </c>
      <c r="D128" s="86">
        <f>SUM(D118:D127)</f>
        <v>842451.81</v>
      </c>
      <c r="E128" s="86">
        <f>SUM(E118:E127)</f>
        <v>514068.62000000005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810224.5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179493.43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75004.5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181548.00000000003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3.67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-127.17000000004191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2916653.5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179493.43</v>
      </c>
    </row>
    <row r="145" spans="1:9" ht="12.75" thickTop="1" thickBot="1" x14ac:dyDescent="0.25">
      <c r="A145" s="33" t="s">
        <v>244</v>
      </c>
      <c r="C145" s="86">
        <f>(C115+C128+C144)</f>
        <v>30658967.32</v>
      </c>
      <c r="D145" s="86">
        <f>(D115+D128+D144)</f>
        <v>842451.81</v>
      </c>
      <c r="E145" s="86">
        <f>(E115+E128+E144)</f>
        <v>1599872.57</v>
      </c>
      <c r="F145" s="86">
        <f>(F115+F128+F144)</f>
        <v>0</v>
      </c>
      <c r="G145" s="86">
        <f>(G115+G128+G144)</f>
        <v>179493.43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42120000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18460000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18460000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1850000</v>
      </c>
    </row>
    <row r="159" spans="1:9" x14ac:dyDescent="0.2">
      <c r="A159" s="22" t="s">
        <v>35</v>
      </c>
      <c r="B159" s="137">
        <f>'DOE25'!F498</f>
        <v>16610000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16610000</v>
      </c>
    </row>
    <row r="160" spans="1:9" x14ac:dyDescent="0.2">
      <c r="A160" s="22" t="s">
        <v>36</v>
      </c>
      <c r="B160" s="137">
        <f>'DOE25'!F499</f>
        <v>3436826.26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3436826.26</v>
      </c>
    </row>
    <row r="161" spans="1:7" x14ac:dyDescent="0.2">
      <c r="A161" s="22" t="s">
        <v>37</v>
      </c>
      <c r="B161" s="137">
        <f>'DOE25'!F500</f>
        <v>20046826.259999998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20046826.259999998</v>
      </c>
    </row>
    <row r="162" spans="1:7" x14ac:dyDescent="0.2">
      <c r="A162" s="22" t="s">
        <v>38</v>
      </c>
      <c r="B162" s="137">
        <f>'DOE25'!F501</f>
        <v>1850000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1850000</v>
      </c>
    </row>
    <row r="163" spans="1:7" x14ac:dyDescent="0.2">
      <c r="A163" s="22" t="s">
        <v>39</v>
      </c>
      <c r="B163" s="137">
        <f>'DOE25'!F502</f>
        <v>717724.5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717724.5</v>
      </c>
    </row>
    <row r="164" spans="1:7" x14ac:dyDescent="0.2">
      <c r="A164" s="22" t="s">
        <v>246</v>
      </c>
      <c r="B164" s="137">
        <f>'DOE25'!F503</f>
        <v>2567724.5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2567724.5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CONWAY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16288</v>
      </c>
    </row>
    <row r="5" spans="1:4" x14ac:dyDescent="0.2">
      <c r="B5" t="s">
        <v>704</v>
      </c>
      <c r="C5" s="179">
        <f>IF('DOE25'!G665+'DOE25'!G670=0,0,ROUND('DOE25'!G672,0))</f>
        <v>16267</v>
      </c>
    </row>
    <row r="6" spans="1:4" x14ac:dyDescent="0.2">
      <c r="B6" t="s">
        <v>62</v>
      </c>
      <c r="C6" s="179">
        <f>IF('DOE25'!H665+'DOE25'!H670=0,0,ROUND('DOE25'!H672,0))</f>
        <v>14066</v>
      </c>
    </row>
    <row r="7" spans="1:4" x14ac:dyDescent="0.2">
      <c r="B7" t="s">
        <v>705</v>
      </c>
      <c r="C7" s="179">
        <f>IF('DOE25'!I665+'DOE25'!I670=0,0,ROUND('DOE25'!I672,0))</f>
        <v>15313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12235362</v>
      </c>
      <c r="D10" s="182">
        <f>ROUND((C10/$C$28)*100,1)</f>
        <v>39.9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5109030</v>
      </c>
      <c r="D11" s="182">
        <f>ROUND((C11/$C$28)*100,1)</f>
        <v>16.600000000000001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834543</v>
      </c>
      <c r="D12" s="182">
        <f>ROUND((C12/$C$28)*100,1)</f>
        <v>2.7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672133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2462989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751458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1040065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1517270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3962439</v>
      </c>
      <c r="D20" s="182">
        <f t="shared" si="0"/>
        <v>12.9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714161</v>
      </c>
      <c r="D21" s="182">
        <f t="shared" si="0"/>
        <v>2.2999999999999998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42736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810225</v>
      </c>
      <c r="D25" s="182">
        <f t="shared" si="0"/>
        <v>2.6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543708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30696119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30696119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1850000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12946998</v>
      </c>
      <c r="D35" s="182">
        <f t="shared" ref="D35:D40" si="1">ROUND((C35/$C$41)*100,1)</f>
        <v>38.9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10031211.690000001</v>
      </c>
      <c r="D36" s="182">
        <f t="shared" si="1"/>
        <v>30.2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6515899</v>
      </c>
      <c r="D37" s="182">
        <f t="shared" si="1"/>
        <v>19.600000000000001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1445955</v>
      </c>
      <c r="D38" s="182">
        <f t="shared" si="1"/>
        <v>4.3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2309641</v>
      </c>
      <c r="D39" s="182">
        <f t="shared" si="1"/>
        <v>6.9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33249704.690000001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 xml:space="preserve">                 CONWAY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C42:M42"/>
    <mergeCell ref="BP40:BZ40"/>
    <mergeCell ref="FC40:FM40"/>
    <mergeCell ref="FP40:FZ40"/>
    <mergeCell ref="AC40:AM40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HP38:HZ38"/>
    <mergeCell ref="IC38:IM38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BP38:BZ38"/>
    <mergeCell ref="CC38:CM38"/>
    <mergeCell ref="GC32:GM32"/>
    <mergeCell ref="DC38:DM38"/>
    <mergeCell ref="DP38:DZ38"/>
    <mergeCell ref="FP30:FZ30"/>
    <mergeCell ref="FC31:FM31"/>
    <mergeCell ref="FP31:FZ31"/>
    <mergeCell ref="GC31:GM31"/>
    <mergeCell ref="GP31:GZ31"/>
    <mergeCell ref="HC31:HM31"/>
    <mergeCell ref="GC30:GM30"/>
    <mergeCell ref="P38:Z38"/>
    <mergeCell ref="AC38:AM38"/>
    <mergeCell ref="AP38:AZ38"/>
    <mergeCell ref="BC39:BM39"/>
    <mergeCell ref="BP31:BZ31"/>
    <mergeCell ref="CC31:CM31"/>
    <mergeCell ref="EC30:EM30"/>
    <mergeCell ref="EP30:EZ30"/>
    <mergeCell ref="DP32:DZ32"/>
    <mergeCell ref="EC32:EM32"/>
    <mergeCell ref="EP32:EZ32"/>
    <mergeCell ref="FC32:FM32"/>
    <mergeCell ref="BP32:BZ32"/>
    <mergeCell ref="CP31:CZ31"/>
    <mergeCell ref="FC30:FM30"/>
    <mergeCell ref="DP39:DZ39"/>
    <mergeCell ref="EC39:EM39"/>
    <mergeCell ref="CC32:CM32"/>
    <mergeCell ref="DC29:DM29"/>
    <mergeCell ref="EC38:EM38"/>
    <mergeCell ref="DC31:DM31"/>
    <mergeCell ref="DP31:DZ31"/>
    <mergeCell ref="EC31:EM31"/>
    <mergeCell ref="EP31:EZ31"/>
    <mergeCell ref="BC31:BM31"/>
    <mergeCell ref="BC32:BM32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C32:DM32"/>
    <mergeCell ref="DP30:DZ30"/>
    <mergeCell ref="FP32:FZ32"/>
    <mergeCell ref="HP31:HZ31"/>
    <mergeCell ref="HP30:H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AP32:AZ32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2015-08-23T12:24:43Z</cp:lastPrinted>
  <dcterms:created xsi:type="dcterms:W3CDTF">1997-12-04T19:04:30Z</dcterms:created>
  <dcterms:modified xsi:type="dcterms:W3CDTF">2015-09-29T16:28:58Z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