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170" windowHeight="8145" tabRatio="855" activeTab="1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Notes'!$A$1:$M$70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43" i="1" l="1"/>
  <c r="G521" i="1"/>
  <c r="H521" i="1"/>
  <c r="I521" i="1"/>
  <c r="J521" i="1"/>
  <c r="K521" i="1"/>
  <c r="F521" i="1"/>
  <c r="D9" i="13"/>
  <c r="F28" i="1"/>
  <c r="I197" i="1"/>
  <c r="H198" i="1"/>
  <c r="F499" i="1" l="1"/>
  <c r="F495" i="1"/>
  <c r="F498" i="1" s="1"/>
  <c r="F502" i="1" s="1"/>
  <c r="H208" i="1"/>
  <c r="H591" i="1"/>
  <c r="F440" i="1"/>
  <c r="H469" i="1"/>
  <c r="F110" i="1"/>
  <c r="F465" i="1"/>
  <c r="G158" i="1"/>
  <c r="G132" i="1"/>
  <c r="G97" i="1"/>
  <c r="H234" i="1"/>
  <c r="H523" i="1" s="1"/>
  <c r="H233" i="1"/>
  <c r="F102" i="1"/>
  <c r="F9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D7" i="13" s="1"/>
  <c r="C7" i="13" s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L226" i="1"/>
  <c r="L244" i="1"/>
  <c r="G651" i="1" s="1"/>
  <c r="J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E132" i="2" s="1"/>
  <c r="L255" i="1"/>
  <c r="L336" i="1"/>
  <c r="E130" i="2" s="1"/>
  <c r="C11" i="13"/>
  <c r="C10" i="13"/>
  <c r="C9" i="13"/>
  <c r="L361" i="1"/>
  <c r="B4" i="12"/>
  <c r="B36" i="12"/>
  <c r="B38" i="12" s="1"/>
  <c r="B40" i="12" s="1"/>
  <c r="C36" i="12"/>
  <c r="C38" i="12" s="1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F94" i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C143" i="2" s="1"/>
  <c r="L349" i="1"/>
  <c r="L350" i="1"/>
  <c r="E143" i="2" s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D115" i="2"/>
  <c r="F115" i="2"/>
  <c r="G115" i="2"/>
  <c r="E118" i="2"/>
  <c r="C122" i="2"/>
  <c r="F128" i="2"/>
  <c r="G128" i="2"/>
  <c r="C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H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J641" i="1" s="1"/>
  <c r="F452" i="1"/>
  <c r="G452" i="1"/>
  <c r="H452" i="1"/>
  <c r="F460" i="1"/>
  <c r="G460" i="1"/>
  <c r="H460" i="1"/>
  <c r="H461" i="1" s="1"/>
  <c r="H641" i="1" s="1"/>
  <c r="I470" i="1"/>
  <c r="J470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I560" i="1"/>
  <c r="J560" i="1"/>
  <c r="J571" i="1" s="1"/>
  <c r="K560" i="1"/>
  <c r="L562" i="1"/>
  <c r="L563" i="1"/>
  <c r="L564" i="1"/>
  <c r="L565" i="1" s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20" i="1"/>
  <c r="G623" i="1"/>
  <c r="H630" i="1"/>
  <c r="H631" i="1"/>
  <c r="H636" i="1"/>
  <c r="H637" i="1"/>
  <c r="H638" i="1"/>
  <c r="G643" i="1"/>
  <c r="G644" i="1"/>
  <c r="H644" i="1"/>
  <c r="G650" i="1"/>
  <c r="G652" i="1"/>
  <c r="H652" i="1"/>
  <c r="G653" i="1"/>
  <c r="H653" i="1"/>
  <c r="G654" i="1"/>
  <c r="H654" i="1"/>
  <c r="H655" i="1"/>
  <c r="J655" i="1" s="1"/>
  <c r="D31" i="2"/>
  <c r="D19" i="13"/>
  <c r="C19" i="13" s="1"/>
  <c r="E13" i="13"/>
  <c r="C13" i="13" s="1"/>
  <c r="I169" i="1"/>
  <c r="F169" i="1"/>
  <c r="K549" i="1"/>
  <c r="H338" i="1"/>
  <c r="H352" i="1" s="1"/>
  <c r="G192" i="1"/>
  <c r="H571" i="1" l="1"/>
  <c r="G338" i="1"/>
  <c r="G352" i="1" s="1"/>
  <c r="G81" i="2"/>
  <c r="H552" i="1"/>
  <c r="F552" i="1"/>
  <c r="L351" i="1"/>
  <c r="C29" i="10"/>
  <c r="E122" i="2"/>
  <c r="C124" i="2"/>
  <c r="F22" i="13"/>
  <c r="C22" i="13" s="1"/>
  <c r="F112" i="1"/>
  <c r="G645" i="1"/>
  <c r="K605" i="1"/>
  <c r="G648" i="1" s="1"/>
  <c r="L570" i="1"/>
  <c r="K571" i="1"/>
  <c r="L560" i="1"/>
  <c r="K503" i="1"/>
  <c r="L419" i="1"/>
  <c r="L382" i="1"/>
  <c r="G636" i="1" s="1"/>
  <c r="J636" i="1" s="1"/>
  <c r="J338" i="1"/>
  <c r="J352" i="1" s="1"/>
  <c r="C119" i="2"/>
  <c r="F78" i="2"/>
  <c r="F81" i="2" s="1"/>
  <c r="F104" i="2" s="1"/>
  <c r="D62" i="2"/>
  <c r="C15" i="10"/>
  <c r="E125" i="2"/>
  <c r="E121" i="2"/>
  <c r="D18" i="13"/>
  <c r="C18" i="13" s="1"/>
  <c r="E16" i="13"/>
  <c r="F408" i="1"/>
  <c r="H643" i="1" s="1"/>
  <c r="J643" i="1" s="1"/>
  <c r="I257" i="1"/>
  <c r="I271" i="1" s="1"/>
  <c r="G161" i="2"/>
  <c r="C91" i="2"/>
  <c r="E111" i="2"/>
  <c r="E120" i="2"/>
  <c r="C18" i="10"/>
  <c r="C17" i="10"/>
  <c r="J644" i="1"/>
  <c r="L614" i="1"/>
  <c r="I571" i="1"/>
  <c r="K545" i="1"/>
  <c r="G545" i="1"/>
  <c r="G461" i="1"/>
  <c r="H640" i="1" s="1"/>
  <c r="J640" i="1" s="1"/>
  <c r="I408" i="1"/>
  <c r="L256" i="1"/>
  <c r="D50" i="2"/>
  <c r="H140" i="1"/>
  <c r="G62" i="2"/>
  <c r="L393" i="1"/>
  <c r="C138" i="2" s="1"/>
  <c r="E114" i="2"/>
  <c r="L328" i="1"/>
  <c r="H660" i="1" s="1"/>
  <c r="E123" i="2"/>
  <c r="E110" i="2"/>
  <c r="E119" i="2"/>
  <c r="I369" i="1"/>
  <c r="H634" i="1" s="1"/>
  <c r="D17" i="13"/>
  <c r="C17" i="13" s="1"/>
  <c r="L229" i="1"/>
  <c r="J545" i="1"/>
  <c r="I545" i="1"/>
  <c r="H545" i="1"/>
  <c r="J552" i="1"/>
  <c r="K551" i="1"/>
  <c r="L524" i="1"/>
  <c r="F51" i="1"/>
  <c r="G622" i="1" s="1"/>
  <c r="G408" i="1"/>
  <c r="H645" i="1" s="1"/>
  <c r="J645" i="1" s="1"/>
  <c r="J634" i="1"/>
  <c r="G164" i="2"/>
  <c r="G157" i="2"/>
  <c r="G156" i="2"/>
  <c r="K598" i="1"/>
  <c r="G647" i="1" s="1"/>
  <c r="L427" i="1"/>
  <c r="L401" i="1"/>
  <c r="C139" i="2" s="1"/>
  <c r="F461" i="1"/>
  <c r="H639" i="1" s="1"/>
  <c r="J639" i="1" s="1"/>
  <c r="J476" i="1"/>
  <c r="H626" i="1" s="1"/>
  <c r="D127" i="2"/>
  <c r="D128" i="2" s="1"/>
  <c r="D145" i="2" s="1"/>
  <c r="D91" i="2"/>
  <c r="D81" i="2"/>
  <c r="E112" i="2"/>
  <c r="C19" i="10"/>
  <c r="L290" i="1"/>
  <c r="C16" i="10"/>
  <c r="F338" i="1"/>
  <c r="F352" i="1" s="1"/>
  <c r="E109" i="2"/>
  <c r="C25" i="10"/>
  <c r="L270" i="1"/>
  <c r="C11" i="10"/>
  <c r="L247" i="1"/>
  <c r="C10" i="10"/>
  <c r="G649" i="1"/>
  <c r="D15" i="13"/>
  <c r="C15" i="13" s="1"/>
  <c r="H647" i="1"/>
  <c r="F662" i="1"/>
  <c r="I662" i="1" s="1"/>
  <c r="C21" i="10"/>
  <c r="C20" i="10"/>
  <c r="K257" i="1"/>
  <c r="K271" i="1" s="1"/>
  <c r="D6" i="13"/>
  <c r="C6" i="13" s="1"/>
  <c r="A40" i="12"/>
  <c r="C109" i="2"/>
  <c r="H257" i="1"/>
  <c r="H271" i="1" s="1"/>
  <c r="G257" i="1"/>
  <c r="G271" i="1" s="1"/>
  <c r="A13" i="12"/>
  <c r="D5" i="13"/>
  <c r="C5" i="13" s="1"/>
  <c r="F257" i="1"/>
  <c r="F271" i="1" s="1"/>
  <c r="F192" i="1"/>
  <c r="C78" i="2"/>
  <c r="C81" i="2"/>
  <c r="C35" i="10"/>
  <c r="C62" i="2"/>
  <c r="C63" i="2" s="1"/>
  <c r="G625" i="1"/>
  <c r="J625" i="1" s="1"/>
  <c r="F18" i="2"/>
  <c r="D18" i="2"/>
  <c r="E31" i="2"/>
  <c r="C18" i="2"/>
  <c r="C16" i="13"/>
  <c r="E62" i="2"/>
  <c r="E63" i="2" s="1"/>
  <c r="L544" i="1"/>
  <c r="H661" i="1"/>
  <c r="C12" i="10"/>
  <c r="H112" i="1"/>
  <c r="H193" i="1" s="1"/>
  <c r="D29" i="13"/>
  <c r="C29" i="13" s="1"/>
  <c r="L309" i="1"/>
  <c r="J257" i="1"/>
  <c r="J271" i="1" s="1"/>
  <c r="D12" i="13"/>
  <c r="C12" i="13" s="1"/>
  <c r="H52" i="1"/>
  <c r="H619" i="1" s="1"/>
  <c r="J619" i="1" s="1"/>
  <c r="K550" i="1"/>
  <c r="L534" i="1"/>
  <c r="I460" i="1"/>
  <c r="I446" i="1"/>
  <c r="G642" i="1" s="1"/>
  <c r="C123" i="2"/>
  <c r="C114" i="2"/>
  <c r="C110" i="2"/>
  <c r="L211" i="1"/>
  <c r="L362" i="1"/>
  <c r="C13" i="10"/>
  <c r="H25" i="13"/>
  <c r="K500" i="1"/>
  <c r="I452" i="1"/>
  <c r="C121" i="2"/>
  <c r="C112" i="2"/>
  <c r="G661" i="1"/>
  <c r="E124" i="2"/>
  <c r="D56" i="2"/>
  <c r="D63" i="2" s="1"/>
  <c r="C32" i="10"/>
  <c r="G112" i="1"/>
  <c r="E8" i="13"/>
  <c r="C8" i="13" s="1"/>
  <c r="C26" i="10"/>
  <c r="K338" i="1"/>
  <c r="K352" i="1" s="1"/>
  <c r="J649" i="1"/>
  <c r="C120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A22" i="12"/>
  <c r="J652" i="1"/>
  <c r="G571" i="1"/>
  <c r="I434" i="1"/>
  <c r="G434" i="1"/>
  <c r="I663" i="1"/>
  <c r="L434" i="1" l="1"/>
  <c r="G638" i="1" s="1"/>
  <c r="J638" i="1" s="1"/>
  <c r="E128" i="2"/>
  <c r="C27" i="10"/>
  <c r="C28" i="10" s="1"/>
  <c r="D12" i="10" s="1"/>
  <c r="G472" i="1"/>
  <c r="K552" i="1"/>
  <c r="E115" i="2"/>
  <c r="G629" i="1"/>
  <c r="H468" i="1"/>
  <c r="L338" i="1"/>
  <c r="L352" i="1" s="1"/>
  <c r="J647" i="1"/>
  <c r="F193" i="1"/>
  <c r="F468" i="1" s="1"/>
  <c r="F33" i="13"/>
  <c r="I661" i="1"/>
  <c r="C49" i="2"/>
  <c r="C50" i="2" s="1"/>
  <c r="C51" i="2" s="1"/>
  <c r="G627" i="1"/>
  <c r="L545" i="1"/>
  <c r="F52" i="1"/>
  <c r="H617" i="1" s="1"/>
  <c r="J617" i="1" s="1"/>
  <c r="L408" i="1"/>
  <c r="G637" i="1" s="1"/>
  <c r="J637" i="1" s="1"/>
  <c r="G104" i="2"/>
  <c r="G51" i="2"/>
  <c r="F660" i="1"/>
  <c r="I660" i="1" s="1"/>
  <c r="I664" i="1" s="1"/>
  <c r="I672" i="1" s="1"/>
  <c r="C7" i="10" s="1"/>
  <c r="E145" i="2"/>
  <c r="E104" i="2"/>
  <c r="H648" i="1"/>
  <c r="J648" i="1" s="1"/>
  <c r="C115" i="2"/>
  <c r="C104" i="2"/>
  <c r="E51" i="2"/>
  <c r="C25" i="13"/>
  <c r="H33" i="13"/>
  <c r="D31" i="13"/>
  <c r="C31" i="13" s="1"/>
  <c r="G664" i="1"/>
  <c r="C128" i="2"/>
  <c r="L257" i="1"/>
  <c r="L271" i="1" s="1"/>
  <c r="I193" i="1"/>
  <c r="G630" i="1" s="1"/>
  <c r="J630" i="1" s="1"/>
  <c r="C36" i="10"/>
  <c r="H664" i="1"/>
  <c r="D104" i="2"/>
  <c r="G635" i="1"/>
  <c r="E33" i="13"/>
  <c r="D35" i="13" s="1"/>
  <c r="I461" i="1"/>
  <c r="H642" i="1" s="1"/>
  <c r="J642" i="1" s="1"/>
  <c r="G631" i="1"/>
  <c r="J631" i="1" s="1"/>
  <c r="G193" i="1"/>
  <c r="G626" i="1"/>
  <c r="J626" i="1" s="1"/>
  <c r="J52" i="1"/>
  <c r="H621" i="1" s="1"/>
  <c r="J621" i="1" s="1"/>
  <c r="C38" i="10"/>
  <c r="G633" i="1" l="1"/>
  <c r="H472" i="1"/>
  <c r="G628" i="1"/>
  <c r="G468" i="1"/>
  <c r="J635" i="1"/>
  <c r="H470" i="1"/>
  <c r="H629" i="1"/>
  <c r="J629" i="1" s="1"/>
  <c r="H635" i="1"/>
  <c r="G474" i="1"/>
  <c r="G632" i="1"/>
  <c r="F472" i="1"/>
  <c r="H627" i="1"/>
  <c r="F470" i="1"/>
  <c r="J627" i="1"/>
  <c r="H646" i="1"/>
  <c r="J646" i="1" s="1"/>
  <c r="F664" i="1"/>
  <c r="F667" i="1" s="1"/>
  <c r="D33" i="13"/>
  <c r="D36" i="13" s="1"/>
  <c r="C145" i="2"/>
  <c r="D16" i="10"/>
  <c r="D11" i="10"/>
  <c r="D17" i="10"/>
  <c r="D19" i="10"/>
  <c r="D22" i="10"/>
  <c r="D27" i="10"/>
  <c r="D26" i="10"/>
  <c r="D24" i="10"/>
  <c r="D15" i="10"/>
  <c r="C30" i="10"/>
  <c r="D20" i="10"/>
  <c r="D25" i="10"/>
  <c r="D10" i="10"/>
  <c r="D23" i="10"/>
  <c r="D13" i="10"/>
  <c r="D21" i="10"/>
  <c r="D18" i="10"/>
  <c r="G672" i="1"/>
  <c r="C5" i="10" s="1"/>
  <c r="G667" i="1"/>
  <c r="H667" i="1"/>
  <c r="H672" i="1"/>
  <c r="C6" i="10" s="1"/>
  <c r="I667" i="1"/>
  <c r="C41" i="10"/>
  <c r="D38" i="10" s="1"/>
  <c r="H632" i="1" l="1"/>
  <c r="F474" i="1"/>
  <c r="F476" i="1" s="1"/>
  <c r="H622" i="1" s="1"/>
  <c r="J632" i="1"/>
  <c r="H474" i="1"/>
  <c r="H476" i="1" s="1"/>
  <c r="H624" i="1" s="1"/>
  <c r="J624" i="1" s="1"/>
  <c r="H633" i="1"/>
  <c r="J633" i="1" s="1"/>
  <c r="H628" i="1"/>
  <c r="J628" i="1" s="1"/>
  <c r="G470" i="1"/>
  <c r="G476" i="1" s="1"/>
  <c r="H623" i="1" s="1"/>
  <c r="J623" i="1" s="1"/>
  <c r="F672" i="1"/>
  <c r="C4" i="10" s="1"/>
  <c r="D28" i="10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<sst xmlns="http://schemas.openxmlformats.org/spreadsheetml/2006/main" count="3957" uniqueCount="915">
  <si>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</si>
  <si>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</si>
  <si>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</si>
  <si>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</si>
  <si>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</si>
  <si>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</si>
  <si>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</si>
  <si>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</si>
  <si>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</si>
  <si>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</si>
  <si>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</si>
  <si>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</si>
  <si>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</si>
  <si>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</si>
  <si>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</si>
  <si>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</si>
  <si>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</si>
  <si>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</si>
  <si>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</si>
  <si>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</si>
  <si>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</si>
  <si>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</si>
  <si>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</si>
  <si>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</si>
  <si>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</si>
  <si>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</si>
  <si>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</si>
  <si>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</si>
  <si>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</si>
  <si>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</si>
  <si>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</si>
  <si>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</si>
  <si>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</si>
  <si>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</si>
  <si>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</si>
  <si>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</si>
  <si>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</si>
  <si>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</si>
  <si>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</si>
  <si>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</si>
  <si>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</si>
  <si>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</si>
  <si>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</si>
  <si>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</si>
  <si>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</si>
  <si>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</si>
  <si>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</si>
  <si>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</si>
  <si>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</si>
  <si>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</si>
  <si>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</si>
  <si>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</si>
  <si>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</si>
  <si>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</si>
  <si>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</si>
  <si>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</si>
  <si>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</si>
  <si>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</si>
  <si>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</si>
  <si>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</si>
  <si>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</si>
  <si>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</si>
  <si>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</si>
  <si>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</si>
  <si>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</si>
  <si>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</si>
  <si>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</si>
  <si>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</si>
  <si>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</si>
  <si>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</si>
  <si>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</si>
  <si>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</si>
  <si>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</si>
  <si>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</si>
  <si>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</si>
  <si>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</si>
  <si>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</si>
  <si>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</si>
  <si>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</si>
  <si>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</si>
  <si>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</si>
  <si>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</si>
  <si>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</si>
  <si>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</si>
  <si>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</si>
  <si>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</si>
  <si>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</si>
  <si>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</si>
  <si>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</si>
  <si>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</si>
  <si>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</si>
  <si>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</si>
  <si>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</si>
  <si>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</si>
  <si>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</si>
  <si>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</si>
  <si>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</si>
  <si>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</si>
  <si>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</si>
  <si>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</si>
  <si>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</si>
  <si>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</si>
  <si>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</si>
  <si>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</si>
  <si>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</si>
  <si>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</si>
  <si>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</si>
  <si>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</si>
  <si>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</si>
  <si>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</si>
  <si>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</si>
  <si>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</si>
  <si>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</si>
  <si>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</si>
  <si>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</si>
  <si>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</si>
  <si>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</si>
  <si>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</si>
  <si>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</si>
  <si>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</si>
  <si>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</si>
  <si>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</si>
  <si>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</si>
  <si>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</si>
  <si>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</si>
  <si>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</si>
  <si>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</si>
  <si>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</si>
  <si>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</si>
  <si>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</si>
  <si>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</si>
  <si>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</si>
  <si>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</si>
  <si>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</si>
  <si>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</si>
  <si>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</si>
  <si>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</si>
  <si>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</si>
  <si>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</si>
  <si>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</si>
  <si>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</si>
  <si>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</si>
  <si>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</si>
  <si>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</si>
  <si>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</si>
  <si>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</si>
  <si>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</si>
  <si>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</si>
  <si>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</si>
  <si>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</si>
  <si>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</si>
  <si>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</si>
  <si>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</si>
  <si>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</si>
  <si>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</si>
  <si>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</si>
  <si>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</si>
  <si>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</si>
  <si>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</si>
  <si>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</si>
  <si>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</si>
  <si>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</si>
  <si>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</si>
  <si>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</si>
  <si>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</si>
  <si>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</si>
  <si>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</si>
  <si>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</si>
  <si>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</si>
  <si>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</si>
  <si>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</si>
  <si>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</si>
  <si>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</si>
  <si>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</si>
  <si>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</si>
  <si>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</si>
  <si>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</si>
  <si>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</si>
  <si>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</si>
  <si>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</si>
  <si>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</si>
  <si>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</si>
  <si>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</si>
  <si>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</si>
  <si>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</si>
  <si>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</si>
  <si>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</si>
  <si>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</si>
  <si>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</si>
  <si>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</si>
  <si>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</si>
  <si>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</si>
  <si>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</si>
  <si>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</si>
  <si>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</si>
  <si>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</si>
  <si>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</si>
  <si>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</si>
  <si>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</si>
  <si>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</si>
  <si>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</si>
  <si>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</si>
  <si>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</si>
  <si>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</si>
  <si>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</si>
  <si>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</si>
  <si>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</si>
  <si>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</si>
  <si>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</si>
  <si>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</si>
  <si>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</si>
  <si>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</si>
  <si>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</si>
  <si>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</si>
  <si>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</si>
  <si>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</si>
  <si>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</si>
  <si>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</si>
  <si>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</si>
  <si>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</si>
  <si>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</si>
  <si>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</si>
  <si>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</si>
  <si>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</si>
  <si>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</si>
  <si>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</si>
  <si>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</si>
  <si>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</si>
  <si>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</si>
  <si>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</si>
  <si>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</si>
  <si>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</si>
  <si>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</si>
  <si>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</si>
  <si>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</si>
  <si>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</si>
  <si>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</si>
  <si>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</si>
  <si>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</si>
  <si>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</si>
  <si>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</si>
  <si>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</si>
  <si>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</si>
  <si>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</si>
  <si>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</si>
  <si>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</si>
  <si>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</si>
  <si>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</si>
  <si>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</si>
  <si>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</si>
  <si>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</si>
  <si>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</si>
  <si>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</si>
  <si>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</si>
  <si>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</si>
  <si>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</si>
  <si>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</si>
  <si>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</si>
  <si>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</si>
  <si>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</si>
  <si>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</si>
  <si>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</si>
  <si>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</si>
  <si>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</si>
  <si>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</si>
  <si>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</si>
  <si>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</si>
  <si>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</si>
  <si>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</si>
  <si>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</si>
  <si>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</si>
  <si>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</si>
  <si>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</si>
  <si>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</si>
  <si>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</si>
  <si>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</si>
  <si>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</si>
  <si>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</si>
  <si>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</si>
  <si>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</si>
  <si>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</si>
  <si>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</si>
  <si>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</si>
  <si>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</si>
  <si>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</si>
  <si>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</si>
  <si>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</si>
  <si>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</si>
  <si>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</si>
  <si>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</si>
  <si>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</si>
  <si>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</si>
  <si>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</si>
  <si>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</si>
  <si>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</si>
  <si>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</si>
  <si>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</si>
  <si>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</si>
  <si>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</si>
  <si>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</si>
  <si>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</si>
  <si>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</si>
  <si>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</si>
  <si>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</si>
  <si>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</si>
  <si>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</si>
  <si>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</si>
  <si>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</si>
  <si>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</si>
  <si>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</si>
  <si>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</si>
  <si>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</si>
  <si>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</si>
  <si>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</si>
  <si>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</si>
  <si>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</si>
  <si>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</si>
  <si>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</si>
  <si>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</si>
  <si>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</si>
  <si>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</si>
  <si>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</si>
  <si>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</si>
  <si>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</si>
  <si>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</si>
  <si>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</si>
  <si>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</si>
  <si>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</si>
  <si>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</si>
  <si>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</si>
  <si>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</si>
  <si>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</si>
  <si>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</si>
  <si>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</si>
  <si>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</si>
  <si>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</si>
  <si>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</si>
  <si>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</si>
  <si>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</si>
  <si>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</si>
  <si>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</si>
  <si>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</si>
  <si>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</si>
  <si>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</si>
  <si>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</si>
  <si>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</si>
  <si>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</si>
  <si>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</si>
  <si>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</si>
  <si>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</si>
  <si>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</si>
  <si>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</si>
  <si>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</si>
  <si>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</si>
  <si>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</si>
  <si>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</si>
  <si>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</si>
  <si>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</si>
  <si>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</si>
  <si>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</si>
  <si>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</si>
  <si>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</si>
  <si>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</si>
  <si>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</si>
  <si>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</si>
  <si>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</si>
  <si>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</si>
  <si>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</si>
  <si>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</si>
  <si>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</si>
  <si>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</si>
  <si>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</si>
  <si>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</si>
  <si>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</si>
  <si>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</si>
  <si>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</si>
  <si>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</si>
  <si>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</si>
  <si>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</si>
  <si>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</si>
  <si>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</si>
  <si>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</si>
  <si>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</si>
  <si>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</si>
  <si>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</si>
  <si>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</si>
  <si>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</si>
  <si>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</si>
  <si>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</si>
  <si>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</si>
  <si>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</si>
  <si>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</si>
  <si>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</si>
  <si>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</si>
  <si>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</si>
  <si>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</si>
  <si>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</si>
  <si>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</si>
  <si>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</si>
  <si>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</si>
  <si>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</si>
  <si>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</si>
  <si>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</si>
  <si>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</si>
  <si>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</si>
  <si>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</si>
  <si>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</si>
  <si>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</si>
  <si>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</si>
  <si>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</si>
  <si>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</si>
  <si>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</si>
  <si>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</si>
  <si>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</si>
  <si>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</si>
  <si>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</si>
  <si>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</si>
  <si>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</si>
  <si>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</si>
  <si>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</si>
  <si>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</si>
  <si>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</si>
  <si>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</si>
  <si>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</si>
  <si>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</si>
  <si>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</si>
  <si>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</si>
  <si>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</si>
  <si>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</si>
  <si>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</si>
  <si>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</si>
  <si>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</si>
  <si>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</si>
  <si>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</si>
  <si>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</si>
  <si>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</si>
  <si>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</si>
  <si>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</si>
  <si>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</si>
  <si>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</si>
  <si>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</si>
  <si>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</si>
  <si>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</si>
  <si>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</si>
  <si>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</si>
  <si>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</si>
  <si>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</si>
  <si>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</si>
  <si>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</si>
  <si>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</si>
  <si>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</si>
  <si>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</si>
  <si>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</si>
  <si>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</si>
  <si>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</si>
  <si>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</si>
  <si>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</si>
  <si>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</si>
  <si>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</si>
  <si>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</si>
  <si>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</si>
  <si>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</si>
  <si>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</si>
  <si>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</si>
  <si>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</si>
  <si>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</si>
  <si>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</si>
  <si>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</si>
  <si>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</si>
  <si>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</si>
  <si>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</si>
  <si>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</si>
  <si>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</si>
  <si>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</si>
  <si>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</si>
  <si>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</si>
  <si>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</si>
  <si>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</si>
  <si>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</si>
  <si>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</si>
  <si>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</si>
  <si>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</si>
  <si>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</si>
  <si>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</si>
  <si>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</si>
  <si>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</si>
  <si>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</si>
  <si>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</si>
  <si>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</si>
  <si>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</si>
  <si>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</si>
  <si>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</si>
  <si>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</si>
  <si>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</si>
  <si>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</si>
  <si>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</si>
  <si>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</si>
  <si>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</si>
  <si>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</si>
  <si>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</si>
  <si>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</si>
  <si>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</si>
  <si>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</si>
  <si>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</si>
  <si>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</si>
  <si>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</si>
  <si>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</si>
  <si>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</si>
  <si>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</si>
  <si>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</si>
  <si>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</si>
  <si>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</si>
  <si>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</si>
  <si>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</si>
  <si>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</si>
  <si>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</si>
  <si>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</si>
  <si>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</si>
  <si>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</si>
  <si>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</si>
  <si>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</si>
  <si>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</si>
  <si>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</si>
  <si>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</si>
  <si>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</si>
  <si>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</si>
  <si>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</si>
  <si>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</si>
  <si>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</si>
  <si>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</si>
  <si>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</si>
  <si>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</si>
  <si>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</si>
  <si>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</si>
  <si>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</si>
  <si>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</si>
  <si>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</si>
  <si>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</si>
  <si>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</si>
  <si>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</si>
  <si>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</si>
  <si>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</si>
  <si>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</si>
  <si>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</si>
  <si>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</si>
  <si>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</si>
  <si>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</si>
  <si>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</si>
  <si>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</si>
  <si>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</si>
  <si>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</si>
  <si>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</si>
  <si>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</si>
  <si>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</si>
  <si>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</si>
  <si>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</si>
  <si>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</si>
  <si>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</si>
  <si>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</si>
  <si>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</si>
  <si>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</si>
  <si>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</si>
  <si>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</si>
  <si>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</si>
  <si>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</si>
  <si>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</si>
  <si>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</si>
  <si>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</si>
  <si>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</si>
  <si>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</si>
  <si>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</si>
  <si>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</si>
  <si>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</si>
  <si>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</si>
  <si>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</si>
  <si>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</si>
  <si>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</si>
  <si>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</si>
  <si>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</si>
  <si>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</si>
  <si>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</si>
  <si>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</si>
  <si>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</si>
  <si>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</si>
  <si>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</si>
  <si>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</si>
  <si>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</si>
  <si>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</si>
  <si>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</si>
  <si>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</si>
  <si>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</si>
  <si>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</si>
  <si>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</si>
  <si>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</si>
  <si>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</si>
  <si>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</si>
  <si>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</si>
  <si>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</si>
  <si>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</si>
  <si>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</si>
  <si>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</si>
  <si>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</si>
  <si>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</si>
  <si>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</si>
  <si>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</si>
  <si>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</si>
  <si>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</si>
  <si>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</si>
  <si>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</si>
  <si>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</si>
  <si>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</si>
  <si>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</si>
  <si>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</si>
  <si>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</si>
  <si>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</si>
  <si>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</si>
  <si>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</si>
  <si>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</si>
  <si>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</si>
  <si>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</si>
  <si>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</si>
  <si>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</si>
  <si>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</si>
  <si>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</si>
  <si>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</si>
  <si>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</si>
  <si>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</si>
  <si>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</si>
  <si>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</si>
  <si>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</si>
  <si>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</si>
  <si>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</si>
  <si>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</si>
  <si>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</si>
  <si>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</si>
  <si>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</si>
  <si>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</si>
  <si>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</si>
  <si>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</si>
  <si>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</si>
  <si>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</si>
  <si>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</si>
  <si>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</si>
  <si>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</si>
  <si>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</si>
  <si>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</si>
  <si>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</si>
  <si>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</si>
  <si>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</si>
  <si>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</si>
  <si>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</si>
  <si>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</si>
  <si>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</si>
  <si>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</si>
  <si>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</si>
  <si>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</si>
  <si>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</si>
  <si>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</si>
  <si>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</si>
  <si>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</si>
  <si>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</si>
  <si>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</si>
  <si>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</si>
  <si>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</si>
  <si>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</si>
  <si>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</si>
  <si>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</si>
  <si>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</si>
  <si>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</si>
  <si>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</si>
  <si>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</si>
  <si>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</si>
  <si>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</si>
  <si>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</si>
  <si>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</si>
  <si>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</si>
  <si>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</si>
  <si>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</si>
  <si>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</si>
  <si>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</si>
  <si>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</si>
  <si>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</si>
  <si>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</si>
  <si>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</si>
  <si>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</si>
  <si>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</si>
  <si>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</si>
  <si>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</si>
  <si>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</si>
  <si>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</si>
  <si>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</si>
  <si>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</si>
  <si>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</si>
  <si>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</si>
  <si>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</si>
  <si>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</si>
  <si>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</si>
  <si>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</si>
  <si>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</si>
  <si>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</si>
  <si>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</si>
  <si>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</si>
  <si>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</si>
  <si>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</si>
  <si>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</si>
  <si>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</si>
  <si>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</si>
  <si>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</si>
  <si>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</si>
  <si>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</si>
  <si>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</si>
  <si>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</si>
  <si>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</si>
  <si>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</si>
  <si>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</si>
  <si>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</si>
  <si>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</si>
  <si>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</si>
  <si>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</si>
  <si>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</si>
  <si>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</si>
  <si>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</si>
  <si>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</si>
  <si>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</si>
  <si>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</si>
  <si>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</si>
  <si>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</si>
  <si>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</si>
  <si>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</si>
  <si>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</si>
  <si>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</si>
  <si>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</si>
  <si>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</si>
  <si>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</si>
  <si>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</si>
  <si>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</si>
  <si>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</si>
  <si>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</si>
  <si>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</si>
  <si>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</si>
  <si>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</si>
  <si>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</si>
  <si>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</si>
  <si>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</si>
  <si>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</si>
  <si>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</si>
  <si>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</si>
  <si>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</si>
  <si>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</si>
  <si>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</si>
  <si>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</si>
  <si>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</si>
  <si>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</si>
  <si>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</si>
  <si>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</si>
  <si>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</si>
  <si>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</si>
  <si>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</si>
  <si>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</si>
  <si>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</si>
  <si>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</si>
  <si>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</si>
  <si>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</si>
  <si>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</si>
  <si>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</si>
  <si>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</si>
  <si>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</si>
  <si>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</si>
  <si>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</si>
  <si>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</si>
  <si>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</si>
  <si>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</si>
  <si>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</si>
  <si>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</si>
  <si>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</si>
  <si>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</si>
  <si>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</si>
  <si>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</si>
  <si>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</si>
  <si>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</si>
  <si>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</si>
  <si>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</si>
  <si>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</si>
  <si>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</si>
  <si>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</si>
  <si>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</si>
  <si>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</si>
  <si>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</si>
  <si>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</si>
  <si>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</si>
  <si>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</si>
  <si>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</si>
  <si>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</si>
  <si>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</si>
  <si>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</si>
  <si>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</si>
  <si>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</si>
  <si>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</si>
  <si>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</si>
  <si>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</si>
  <si>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</si>
  <si>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</si>
  <si>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</si>
  <si>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</si>
  <si>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</si>
  <si>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</si>
  <si>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</si>
  <si>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</si>
  <si>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</si>
  <si>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</si>
  <si>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</si>
  <si>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</si>
  <si>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</si>
  <si>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</si>
  <si>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</si>
  <si>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</si>
  <si>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</si>
  <si>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</si>
  <si>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</si>
  <si>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</si>
  <si>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</si>
  <si>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</si>
  <si>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</si>
  <si>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</si>
  <si>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</si>
  <si>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</si>
  <si>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</si>
  <si>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</si>
  <si>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</si>
  <si>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</si>
  <si>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</si>
  <si>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</si>
  <si>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</si>
  <si>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</si>
  <si>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</si>
  <si>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</si>
  <si>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</si>
  <si>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</si>
  <si>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</si>
  <si>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</si>
  <si>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</si>
  <si>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</si>
  <si>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</si>
  <si>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</si>
  <si>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</si>
  <si>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</si>
  <si>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</si>
  <si>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</si>
  <si>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</si>
  <si>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</si>
  <si>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</si>
  <si>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</si>
  <si>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</si>
  <si>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</si>
  <si>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</si>
  <si>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</si>
  <si>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</si>
  <si>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</si>
  <si>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</si>
  <si>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</si>
  <si>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</si>
  <si>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</si>
  <si>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</si>
  <si>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</si>
  <si>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</si>
  <si>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</si>
  <si>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</si>
  <si>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</si>
  <si>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</si>
  <si>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</si>
  <si>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</si>
  <si>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</si>
  <si>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</si>
  <si>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</si>
  <si>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</si>
  <si>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</si>
  <si>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</si>
  <si>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</si>
  <si>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</si>
  <si>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</si>
  <si>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</si>
  <si>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</si>
  <si>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</si>
  <si>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</si>
  <si>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</si>
  <si>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</si>
  <si>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</si>
  <si>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</si>
  <si>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</si>
  <si>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</si>
  <si>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</si>
  <si>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</si>
  <si>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</si>
  <si>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</si>
  <si>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</si>
  <si>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</si>
  <si>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</si>
  <si>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</si>
  <si>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</si>
  <si>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</si>
  <si>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</si>
  <si>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</si>
  <si>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</si>
  <si>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</si>
  <si>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</si>
  <si>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</si>
  <si>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</si>
  <si>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</si>
  <si>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</si>
  <si>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</si>
  <si>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</si>
  <si>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Cornish School District</t>
  </si>
  <si>
    <t>07/15/11</t>
  </si>
  <si>
    <t>07/15/19</t>
  </si>
  <si>
    <t xml:space="preserve">Other additions revenue: NH Public Health Trust Settlement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</si>
</sst>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zoomScale="120" zoomScaleNormal="120" workbookViewId="0">
      <pane xSplit="5" ySplit="3" topLeftCell="G414" activePane="bottomRight" state="frozen"/>
      <selection pane="topRight" activeCell="F1" sqref="F1"/>
      <selection pane="bottomLeft" activeCell="A4" sqref="A4"/>
      <selection pane="bottomRight" activeCell="H422" sqref="H42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115</v>
      </c>
      <c r="C2" s="21">
        <v>115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-4815.15+250+15329.26+8065.86+247.01+100397.81</f>
        <v>119474.79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91523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14139.78</v>
      </c>
      <c r="H12" s="18">
        <v>58528.63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22815</v>
      </c>
      <c r="G13" s="18">
        <v>14076.18</v>
      </c>
      <c r="H13" s="18">
        <v>23700.09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2448.37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142289.78999999998</v>
      </c>
      <c r="G19" s="41">
        <f>SUM(G9:G18)</f>
        <v>30664.329999999998</v>
      </c>
      <c r="H19" s="41">
        <f>SUM(H9:H18)</f>
        <v>82228.72</v>
      </c>
      <c r="I19" s="41">
        <f>SUM(I9:I18)</f>
        <v>0</v>
      </c>
      <c r="J19" s="41">
        <f>SUM(J9:J18)</f>
        <v>91523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51312.73</v>
      </c>
      <c r="G22" s="18"/>
      <c r="H22" s="18">
        <v>21355.759999999998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22815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38132.080000000002</v>
      </c>
      <c r="G24" s="18">
        <v>29624.42</v>
      </c>
      <c r="H24" s="18">
        <v>2321.5500000000002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16463.06+22300.84+3677.36+1199.97</f>
        <v>43641.23</v>
      </c>
      <c r="G28" s="18"/>
      <c r="H28" s="18">
        <v>22.78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1039.9100000000001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133086.04</v>
      </c>
      <c r="G32" s="41">
        <f>SUM(G22:G31)</f>
        <v>30664.329999999998</v>
      </c>
      <c r="H32" s="41">
        <f>SUM(H22:H31)</f>
        <v>23700.089999999997</v>
      </c>
      <c r="I32" s="41">
        <f>SUM(I22:I31)</f>
        <v>0</v>
      </c>
      <c r="J32" s="41">
        <f>SUM(J22:J31)</f>
        <v>22815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9203.75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58528.63</v>
      </c>
      <c r="I48" s="18"/>
      <c r="J48" s="13">
        <f>SUM(I459)</f>
        <v>68708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9203.75</v>
      </c>
      <c r="G51" s="41">
        <f>SUM(G35:G50)</f>
        <v>0</v>
      </c>
      <c r="H51" s="41">
        <f>SUM(H35:H50)</f>
        <v>58528.63</v>
      </c>
      <c r="I51" s="41">
        <f>SUM(I35:I50)</f>
        <v>0</v>
      </c>
      <c r="J51" s="41">
        <f>SUM(J35:J50)</f>
        <v>68708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142289.79</v>
      </c>
      <c r="G52" s="41">
        <f>G51+G32</f>
        <v>30664.329999999998</v>
      </c>
      <c r="H52" s="41">
        <f>H51+H32</f>
        <v>82228.72</v>
      </c>
      <c r="I52" s="41">
        <f>I51+I32</f>
        <v>0</v>
      </c>
      <c r="J52" s="41">
        <f>J51+J32</f>
        <v>91523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2174561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2174561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35181.57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35181.57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271.89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21249.68+44316.5</f>
        <v>65566.179999999993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f>1300</f>
        <v>1300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64305.52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2044.11-180.58+0.08</f>
        <v>1863.61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67741.02</v>
      </c>
      <c r="G111" s="41">
        <f>SUM(G96:G110)</f>
        <v>65566.179999999993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2242302.02</v>
      </c>
      <c r="G112" s="41">
        <f>G60+G111</f>
        <v>65566.179999999993</v>
      </c>
      <c r="H112" s="41">
        <f>H60+H79+H94+H111</f>
        <v>35181.57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694514.77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455033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1149547.77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15466.67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23678.32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82.53+489.71</f>
        <v>572.24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39144.99</v>
      </c>
      <c r="G136" s="41">
        <f>SUM(G123:G135)</f>
        <v>572.24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1188692.76</v>
      </c>
      <c r="G140" s="41">
        <f>G121+SUM(G136:G137)</f>
        <v>572.24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37235.839999999997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10999.06+3754.46</f>
        <v>14753.52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26132.29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26132.29</v>
      </c>
      <c r="G162" s="41">
        <f>SUM(G150:G161)</f>
        <v>14753.52</v>
      </c>
      <c r="H162" s="41">
        <f>SUM(H150:H161)</f>
        <v>37235.839999999997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26132.29</v>
      </c>
      <c r="G169" s="41">
        <f>G147+G162+SUM(G163:G168)</f>
        <v>14753.52</v>
      </c>
      <c r="H169" s="41">
        <f>H147+H162+SUM(H163:H168)</f>
        <v>37235.839999999997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8725.5300000000007</v>
      </c>
      <c r="H179" s="18"/>
      <c r="I179" s="18"/>
      <c r="J179" s="18">
        <v>16000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8725.5300000000007</v>
      </c>
      <c r="H183" s="41">
        <f>SUM(H179:H182)</f>
        <v>0</v>
      </c>
      <c r="I183" s="41">
        <f>SUM(I179:I182)</f>
        <v>0</v>
      </c>
      <c r="J183" s="41">
        <f>SUM(J179:J182)</f>
        <v>16000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22815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22815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22815</v>
      </c>
      <c r="G192" s="41">
        <f>G183+SUM(G188:G191)</f>
        <v>8725.5300000000007</v>
      </c>
      <c r="H192" s="41">
        <f>+H183+SUM(H188:H191)</f>
        <v>0</v>
      </c>
      <c r="I192" s="41">
        <f>I177+I183+SUM(I188:I191)</f>
        <v>0</v>
      </c>
      <c r="J192" s="41">
        <f>J183</f>
        <v>16000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3479942.0700000003</v>
      </c>
      <c r="G193" s="47">
        <f>G112+G140+G169+G192</f>
        <v>89617.47</v>
      </c>
      <c r="H193" s="47">
        <f>H112+H140+H169+H192</f>
        <v>72417.41</v>
      </c>
      <c r="I193" s="47">
        <f>I112+I140+I169+I192</f>
        <v>0</v>
      </c>
      <c r="J193" s="47">
        <f>J112+J140+J192</f>
        <v>16000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493663.56</v>
      </c>
      <c r="G197" s="18">
        <v>284290.40999999997</v>
      </c>
      <c r="H197" s="18">
        <v>15720.8</v>
      </c>
      <c r="I197" s="18">
        <f>-30+48755.34</f>
        <v>48725.34</v>
      </c>
      <c r="J197" s="18">
        <v>16280.89</v>
      </c>
      <c r="K197" s="18"/>
      <c r="L197" s="19">
        <f>SUM(F197:K197)</f>
        <v>858681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189764.05</v>
      </c>
      <c r="G198" s="18">
        <v>66271.240000000005</v>
      </c>
      <c r="H198" s="18">
        <f>47367.95+30863.56</f>
        <v>78231.509999999995</v>
      </c>
      <c r="I198" s="18">
        <v>2259.5700000000002</v>
      </c>
      <c r="J198" s="18">
        <v>111.89</v>
      </c>
      <c r="K198" s="18"/>
      <c r="L198" s="19">
        <f>SUM(F198:K198)</f>
        <v>336638.26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1000</v>
      </c>
      <c r="G200" s="18">
        <v>119.03</v>
      </c>
      <c r="H200" s="18">
        <v>700</v>
      </c>
      <c r="I200" s="18">
        <v>5870</v>
      </c>
      <c r="J200" s="18"/>
      <c r="K200" s="18"/>
      <c r="L200" s="19">
        <f>SUM(F200:K200)</f>
        <v>7689.03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56234.239999999998</v>
      </c>
      <c r="G202" s="18">
        <v>35230.74</v>
      </c>
      <c r="H202" s="18"/>
      <c r="I202" s="18">
        <v>689.09</v>
      </c>
      <c r="J202" s="18">
        <v>110</v>
      </c>
      <c r="K202" s="18"/>
      <c r="L202" s="19">
        <f t="shared" ref="L202:L208" si="0">SUM(F202:K202)</f>
        <v>92264.069999999992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34604.800000000003</v>
      </c>
      <c r="G203" s="18">
        <v>8146.86</v>
      </c>
      <c r="H203" s="18">
        <v>10875.2</v>
      </c>
      <c r="I203" s="18">
        <v>6111.29</v>
      </c>
      <c r="J203" s="18"/>
      <c r="K203" s="18"/>
      <c r="L203" s="19">
        <f t="shared" si="0"/>
        <v>59738.15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2032.24</v>
      </c>
      <c r="G204" s="18">
        <v>91.84</v>
      </c>
      <c r="H204" s="18">
        <v>223679.82</v>
      </c>
      <c r="I204" s="18">
        <v>1338.57</v>
      </c>
      <c r="J204" s="18"/>
      <c r="K204" s="18">
        <v>994.5</v>
      </c>
      <c r="L204" s="19">
        <f t="shared" si="0"/>
        <v>228136.97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123780.42</v>
      </c>
      <c r="G205" s="18">
        <v>56541.96</v>
      </c>
      <c r="H205" s="18">
        <v>2954.45</v>
      </c>
      <c r="I205" s="18">
        <v>595.95000000000005</v>
      </c>
      <c r="J205" s="18">
        <v>51.73</v>
      </c>
      <c r="K205" s="18">
        <v>3960.27</v>
      </c>
      <c r="L205" s="19">
        <f t="shared" si="0"/>
        <v>187884.78000000003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68377.570000000007</v>
      </c>
      <c r="G207" s="18">
        <v>25343.17</v>
      </c>
      <c r="H207" s="18">
        <v>119122.29</v>
      </c>
      <c r="I207" s="18">
        <v>58488.29</v>
      </c>
      <c r="J207" s="18"/>
      <c r="K207" s="18"/>
      <c r="L207" s="19">
        <f t="shared" si="0"/>
        <v>271331.32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-14110+134979.92</f>
        <v>120869.92000000001</v>
      </c>
      <c r="I208" s="18"/>
      <c r="J208" s="18"/>
      <c r="K208" s="18"/>
      <c r="L208" s="19">
        <f t="shared" si="0"/>
        <v>120869.92000000001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969456.88000000012</v>
      </c>
      <c r="G211" s="41">
        <f t="shared" si="1"/>
        <v>476035.25</v>
      </c>
      <c r="H211" s="41">
        <f t="shared" si="1"/>
        <v>572153.99</v>
      </c>
      <c r="I211" s="41">
        <f t="shared" si="1"/>
        <v>124078.1</v>
      </c>
      <c r="J211" s="41">
        <f t="shared" si="1"/>
        <v>16554.509999999998</v>
      </c>
      <c r="K211" s="41">
        <f t="shared" si="1"/>
        <v>4954.7700000000004</v>
      </c>
      <c r="L211" s="41">
        <f t="shared" si="1"/>
        <v>2163233.5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322717.76+795540.42</f>
        <v>1118258.1800000002</v>
      </c>
      <c r="I233" s="18"/>
      <c r="J233" s="18"/>
      <c r="K233" s="18"/>
      <c r="L233" s="19">
        <f>SUM(F233:K233)</f>
        <v>1118258.1800000002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89978.12+122578.19</f>
        <v>212556.31</v>
      </c>
      <c r="I234" s="18"/>
      <c r="J234" s="18"/>
      <c r="K234" s="18"/>
      <c r="L234" s="19">
        <f>SUM(F234:K234)</f>
        <v>212556.31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14110</v>
      </c>
      <c r="I244" s="18"/>
      <c r="J244" s="18"/>
      <c r="K244" s="18"/>
      <c r="L244" s="19">
        <f t="shared" si="4"/>
        <v>14110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1344924.4900000002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1344924.4900000002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969456.88000000012</v>
      </c>
      <c r="G257" s="41">
        <f t="shared" si="8"/>
        <v>476035.25</v>
      </c>
      <c r="H257" s="41">
        <f t="shared" si="8"/>
        <v>1917078.4800000002</v>
      </c>
      <c r="I257" s="41">
        <f t="shared" si="8"/>
        <v>124078.1</v>
      </c>
      <c r="J257" s="41">
        <f t="shared" si="8"/>
        <v>16554.509999999998</v>
      </c>
      <c r="K257" s="41">
        <f t="shared" si="8"/>
        <v>4954.7700000000004</v>
      </c>
      <c r="L257" s="41">
        <f t="shared" si="8"/>
        <v>3508157.99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51111.11</v>
      </c>
      <c r="L260" s="19">
        <f>SUM(F260:K260)</f>
        <v>51111.11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8397.51</v>
      </c>
      <c r="L261" s="19">
        <f>SUM(F261:K261)</f>
        <v>8397.51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8725.5300000000007</v>
      </c>
      <c r="L263" s="19">
        <f>SUM(F263:K263)</f>
        <v>8725.5300000000007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16000</v>
      </c>
      <c r="L266" s="19">
        <f t="shared" si="9"/>
        <v>16000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84234.150000000009</v>
      </c>
      <c r="L270" s="41">
        <f t="shared" si="9"/>
        <v>84234.150000000009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969456.88000000012</v>
      </c>
      <c r="G271" s="42">
        <f t="shared" si="11"/>
        <v>476035.25</v>
      </c>
      <c r="H271" s="42">
        <f t="shared" si="11"/>
        <v>1917078.4800000002</v>
      </c>
      <c r="I271" s="42">
        <f t="shared" si="11"/>
        <v>124078.1</v>
      </c>
      <c r="J271" s="42">
        <f t="shared" si="11"/>
        <v>16554.509999999998</v>
      </c>
      <c r="K271" s="42">
        <f t="shared" si="11"/>
        <v>89188.920000000013</v>
      </c>
      <c r="L271" s="42">
        <f t="shared" si="11"/>
        <v>3592392.14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10139.06</v>
      </c>
      <c r="G276" s="18">
        <v>792.72</v>
      </c>
      <c r="H276" s="18"/>
      <c r="I276" s="18">
        <v>7919.26</v>
      </c>
      <c r="J276" s="18">
        <v>3095</v>
      </c>
      <c r="K276" s="18"/>
      <c r="L276" s="19">
        <f>SUM(F276:K276)</f>
        <v>21946.04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28137.27</v>
      </c>
      <c r="G279" s="18">
        <v>5023.4799999999996</v>
      </c>
      <c r="H279" s="18"/>
      <c r="I279" s="18">
        <v>931.31</v>
      </c>
      <c r="J279" s="18"/>
      <c r="K279" s="18"/>
      <c r="L279" s="19">
        <f>SUM(F279:K279)</f>
        <v>34092.06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3025</v>
      </c>
      <c r="G281" s="18">
        <v>317.27</v>
      </c>
      <c r="H281" s="18">
        <v>7618.02</v>
      </c>
      <c r="I281" s="18">
        <v>378.94</v>
      </c>
      <c r="J281" s="18"/>
      <c r="K281" s="18"/>
      <c r="L281" s="19">
        <f t="shared" ref="L281:L287" si="12">SUM(F281:K281)</f>
        <v>11339.230000000001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675</v>
      </c>
      <c r="G282" s="18">
        <v>107.27</v>
      </c>
      <c r="H282" s="18">
        <v>1333.67</v>
      </c>
      <c r="I282" s="18">
        <v>1041.3499999999999</v>
      </c>
      <c r="J282" s="18"/>
      <c r="K282" s="18"/>
      <c r="L282" s="19">
        <f t="shared" si="12"/>
        <v>3157.29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>
        <v>793.28</v>
      </c>
      <c r="K285" s="18"/>
      <c r="L285" s="19">
        <f t="shared" si="12"/>
        <v>793.28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41976.33</v>
      </c>
      <c r="G290" s="42">
        <f t="shared" si="13"/>
        <v>6240.74</v>
      </c>
      <c r="H290" s="42">
        <f t="shared" si="13"/>
        <v>8951.69</v>
      </c>
      <c r="I290" s="42">
        <f t="shared" si="13"/>
        <v>10270.86</v>
      </c>
      <c r="J290" s="42">
        <f t="shared" si="13"/>
        <v>3888.2799999999997</v>
      </c>
      <c r="K290" s="42">
        <f t="shared" si="13"/>
        <v>0</v>
      </c>
      <c r="L290" s="41">
        <f t="shared" si="13"/>
        <v>71327.899999999994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41976.33</v>
      </c>
      <c r="G338" s="41">
        <f t="shared" si="20"/>
        <v>6240.74</v>
      </c>
      <c r="H338" s="41">
        <f t="shared" si="20"/>
        <v>8951.69</v>
      </c>
      <c r="I338" s="41">
        <f t="shared" si="20"/>
        <v>10270.86</v>
      </c>
      <c r="J338" s="41">
        <f t="shared" si="20"/>
        <v>3888.2799999999997</v>
      </c>
      <c r="K338" s="41">
        <f t="shared" si="20"/>
        <v>0</v>
      </c>
      <c r="L338" s="41">
        <f t="shared" si="20"/>
        <v>71327.899999999994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41976.33</v>
      </c>
      <c r="G352" s="41">
        <f>G338</f>
        <v>6240.74</v>
      </c>
      <c r="H352" s="41">
        <f>H338</f>
        <v>8951.69</v>
      </c>
      <c r="I352" s="41">
        <f>I338</f>
        <v>10270.86</v>
      </c>
      <c r="J352" s="41">
        <f>J338</f>
        <v>3888.2799999999997</v>
      </c>
      <c r="K352" s="47">
        <f>K338+K351</f>
        <v>0</v>
      </c>
      <c r="L352" s="41">
        <f>L338+L351</f>
        <v>71327.899999999994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89377.47</v>
      </c>
      <c r="I358" s="18">
        <v>240</v>
      </c>
      <c r="J358" s="18"/>
      <c r="K358" s="18"/>
      <c r="L358" s="13">
        <f>SUM(F358:K358)</f>
        <v>89617.47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89377.47</v>
      </c>
      <c r="I362" s="47">
        <f t="shared" si="22"/>
        <v>240</v>
      </c>
      <c r="J362" s="47">
        <f t="shared" si="22"/>
        <v>0</v>
      </c>
      <c r="K362" s="47">
        <f t="shared" si="22"/>
        <v>0</v>
      </c>
      <c r="L362" s="47">
        <f t="shared" si="22"/>
        <v>89617.47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240</v>
      </c>
      <c r="G367" s="18"/>
      <c r="H367" s="18"/>
      <c r="I367" s="56">
        <f>SUM(F367:H367)</f>
        <v>240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240</v>
      </c>
      <c r="G369" s="47">
        <f>SUM(G367:G368)</f>
        <v>0</v>
      </c>
      <c r="H369" s="47">
        <f>SUM(H367:H368)</f>
        <v>0</v>
      </c>
      <c r="I369" s="47">
        <f>SUM(I367:I368)</f>
        <v>240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0</v>
      </c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16000</v>
      </c>
      <c r="H398" s="18"/>
      <c r="I398" s="18"/>
      <c r="J398" s="24" t="s">
        <v>289</v>
      </c>
      <c r="K398" s="24" t="s">
        <v>289</v>
      </c>
      <c r="L398" s="56">
        <f t="shared" si="26"/>
        <v>16000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16000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16000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16000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16000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274">
        <v>22815</v>
      </c>
      <c r="L422" s="56">
        <f t="shared" si="29"/>
        <v>22815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22815</v>
      </c>
      <c r="L427" s="47">
        <f t="shared" si="30"/>
        <v>22815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22815</v>
      </c>
      <c r="L434" s="47">
        <f t="shared" si="32"/>
        <v>22815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22815+68708</f>
        <v>91523</v>
      </c>
      <c r="G440" s="18"/>
      <c r="H440" s="18"/>
      <c r="I440" s="56">
        <f t="shared" si="33"/>
        <v>91523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91523</v>
      </c>
      <c r="G446" s="13">
        <f>SUM(G439:G445)</f>
        <v>0</v>
      </c>
      <c r="H446" s="13">
        <f>SUM(H439:H445)</f>
        <v>0</v>
      </c>
      <c r="I446" s="13">
        <f>SUM(I439:I445)</f>
        <v>91523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22815</v>
      </c>
      <c r="G449" s="18"/>
      <c r="H449" s="18"/>
      <c r="I449" s="56">
        <f>SUM(F449:H449)</f>
        <v>22815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22815</v>
      </c>
      <c r="G452" s="72">
        <f>SUM(G448:G451)</f>
        <v>0</v>
      </c>
      <c r="H452" s="72">
        <f>SUM(H448:H451)</f>
        <v>0</v>
      </c>
      <c r="I452" s="72">
        <f>SUM(I448:I451)</f>
        <v>22815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68708</v>
      </c>
      <c r="G459" s="18"/>
      <c r="H459" s="18"/>
      <c r="I459" s="56">
        <f t="shared" si="34"/>
        <v>68708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68708</v>
      </c>
      <c r="G460" s="83">
        <f>SUM(G454:G459)</f>
        <v>0</v>
      </c>
      <c r="H460" s="83">
        <f>SUM(H454:H459)</f>
        <v>0</v>
      </c>
      <c r="I460" s="83">
        <f>SUM(I454:I459)</f>
        <v>68708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91523</v>
      </c>
      <c r="G461" s="42">
        <f>G452+G460</f>
        <v>0</v>
      </c>
      <c r="H461" s="42">
        <f>H452+H460</f>
        <v>0</v>
      </c>
      <c r="I461" s="42">
        <f>I452+I460</f>
        <v>91523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178942-57288.18</f>
        <v>121653.82</v>
      </c>
      <c r="G465" s="18">
        <v>0</v>
      </c>
      <c r="H465" s="18">
        <v>57288.18</v>
      </c>
      <c r="I465" s="18">
        <v>0</v>
      </c>
      <c r="J465" s="18">
        <v>75523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3479942.0700000003</v>
      </c>
      <c r="G468" s="18">
        <f>G193</f>
        <v>89617.47</v>
      </c>
      <c r="H468" s="18">
        <f>H193</f>
        <v>72417.41</v>
      </c>
      <c r="I468" s="18"/>
      <c r="J468" s="18">
        <v>16000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>
        <f>1.2+149.74</f>
        <v>150.94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3479942.0700000003</v>
      </c>
      <c r="G470" s="53">
        <f>SUM(G468:G469)</f>
        <v>89617.47</v>
      </c>
      <c r="H470" s="53">
        <f>SUM(H468:H469)</f>
        <v>72568.350000000006</v>
      </c>
      <c r="I470" s="53">
        <f>SUM(I468:I469)</f>
        <v>0</v>
      </c>
      <c r="J470" s="53">
        <f>SUM(J468:J469)</f>
        <v>16000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3592392.14</v>
      </c>
      <c r="G472" s="18">
        <f>L362</f>
        <v>89617.47</v>
      </c>
      <c r="H472" s="18">
        <f>L352</f>
        <v>71327.899999999994</v>
      </c>
      <c r="I472" s="18"/>
      <c r="J472" s="18">
        <v>22815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3592392.14</v>
      </c>
      <c r="G474" s="53">
        <f>SUM(G472:G473)</f>
        <v>89617.47</v>
      </c>
      <c r="H474" s="53">
        <f>SUM(H472:H473)</f>
        <v>71327.899999999994</v>
      </c>
      <c r="I474" s="53">
        <f>SUM(I472:I473)</f>
        <v>0</v>
      </c>
      <c r="J474" s="53">
        <f>SUM(J472:J473)</f>
        <v>22815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9203.75</v>
      </c>
      <c r="G476" s="53">
        <f>(G465+G470)- G474</f>
        <v>0</v>
      </c>
      <c r="H476" s="53">
        <f>(H465+H470)- H474</f>
        <v>58528.630000000005</v>
      </c>
      <c r="I476" s="53">
        <f>(I465+I470)- I474</f>
        <v>0</v>
      </c>
      <c r="J476" s="53">
        <f>(J465+J470)- J474</f>
        <v>68708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9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460000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0.03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f>357777.77-51111.11</f>
        <v>306666.66000000003</v>
      </c>
      <c r="G495" s="18"/>
      <c r="H495" s="18"/>
      <c r="I495" s="18"/>
      <c r="J495" s="18"/>
      <c r="K495" s="53">
        <f>SUM(F495:J495)</f>
        <v>306666.66000000003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51111.11</v>
      </c>
      <c r="G497" s="18"/>
      <c r="H497" s="18"/>
      <c r="I497" s="18"/>
      <c r="J497" s="18"/>
      <c r="K497" s="53">
        <f t="shared" si="35"/>
        <v>51111.11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255555.55000000005</v>
      </c>
      <c r="G498" s="204"/>
      <c r="H498" s="204"/>
      <c r="I498" s="204"/>
      <c r="J498" s="204"/>
      <c r="K498" s="205">
        <f t="shared" si="35"/>
        <v>255555.55000000005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27487-8399</f>
        <v>19088</v>
      </c>
      <c r="G499" s="18"/>
      <c r="H499" s="18"/>
      <c r="I499" s="18"/>
      <c r="J499" s="18"/>
      <c r="K499" s="53">
        <f t="shared" si="35"/>
        <v>19088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274643.55000000005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274643.55000000005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51111.11</v>
      </c>
      <c r="G501" s="204"/>
      <c r="H501" s="204"/>
      <c r="I501" s="204"/>
      <c r="J501" s="204"/>
      <c r="K501" s="205">
        <f t="shared" si="35"/>
        <v>51111.11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F498*0.03</f>
        <v>7666.6665000000012</v>
      </c>
      <c r="G502" s="18"/>
      <c r="H502" s="18"/>
      <c r="I502" s="18"/>
      <c r="J502" s="18"/>
      <c r="K502" s="53">
        <f t="shared" si="35"/>
        <v>7666.6665000000012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58777.7765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58777.7765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</f>
        <v>189764.05</v>
      </c>
      <c r="G521" s="18">
        <f t="shared" ref="G521:K521" si="36">G198</f>
        <v>66271.240000000005</v>
      </c>
      <c r="H521" s="18">
        <f t="shared" si="36"/>
        <v>78231.509999999995</v>
      </c>
      <c r="I521" s="18">
        <f t="shared" si="36"/>
        <v>2259.5700000000002</v>
      </c>
      <c r="J521" s="18">
        <f t="shared" si="36"/>
        <v>111.89</v>
      </c>
      <c r="K521" s="18">
        <f t="shared" si="36"/>
        <v>0</v>
      </c>
      <c r="L521" s="88">
        <f>SUM(F521:K521)</f>
        <v>336638.26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H234</f>
        <v>212556.31</v>
      </c>
      <c r="I523" s="18"/>
      <c r="J523" s="18"/>
      <c r="K523" s="18"/>
      <c r="L523" s="88">
        <f>SUM(F523:K523)</f>
        <v>212556.31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189764.05</v>
      </c>
      <c r="G524" s="108">
        <f t="shared" ref="G524:L524" si="37">SUM(G521:G523)</f>
        <v>66271.240000000005</v>
      </c>
      <c r="H524" s="108">
        <f t="shared" si="37"/>
        <v>290787.82</v>
      </c>
      <c r="I524" s="108">
        <f t="shared" si="37"/>
        <v>2259.5700000000002</v>
      </c>
      <c r="J524" s="108">
        <f t="shared" si="37"/>
        <v>111.89</v>
      </c>
      <c r="K524" s="108">
        <f t="shared" si="37"/>
        <v>0</v>
      </c>
      <c r="L524" s="89">
        <f t="shared" si="37"/>
        <v>549194.57000000007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6019.35</v>
      </c>
      <c r="G531" s="18">
        <v>2803.08</v>
      </c>
      <c r="H531" s="18">
        <v>217.39</v>
      </c>
      <c r="I531" s="18">
        <v>52.52</v>
      </c>
      <c r="J531" s="18">
        <v>163.28</v>
      </c>
      <c r="K531" s="18"/>
      <c r="L531" s="88">
        <f>SUM(F531:K531)</f>
        <v>9255.6200000000008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6019.35</v>
      </c>
      <c r="G534" s="89">
        <f t="shared" ref="G534:L534" si="39">SUM(G531:G533)</f>
        <v>2803.08</v>
      </c>
      <c r="H534" s="89">
        <f t="shared" si="39"/>
        <v>217.39</v>
      </c>
      <c r="I534" s="89">
        <f t="shared" si="39"/>
        <v>52.52</v>
      </c>
      <c r="J534" s="89">
        <f t="shared" si="39"/>
        <v>163.28</v>
      </c>
      <c r="K534" s="89">
        <f t="shared" si="39"/>
        <v>0</v>
      </c>
      <c r="L534" s="89">
        <f t="shared" si="39"/>
        <v>9255.6200000000008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H244</f>
        <v>14110</v>
      </c>
      <c r="I543" s="18"/>
      <c r="J543" s="18"/>
      <c r="K543" s="18"/>
      <c r="L543" s="88">
        <f>SUM(F543:K543)</f>
        <v>14110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14110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14110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195783.4</v>
      </c>
      <c r="G545" s="89">
        <f t="shared" ref="G545:L545" si="42">G524+G529+G534+G539+G544</f>
        <v>69074.320000000007</v>
      </c>
      <c r="H545" s="89">
        <f t="shared" si="42"/>
        <v>305115.21000000002</v>
      </c>
      <c r="I545" s="89">
        <f t="shared" si="42"/>
        <v>2312.09</v>
      </c>
      <c r="J545" s="89">
        <f t="shared" si="42"/>
        <v>275.17</v>
      </c>
      <c r="K545" s="89">
        <f t="shared" si="42"/>
        <v>0</v>
      </c>
      <c r="L545" s="89">
        <f t="shared" si="42"/>
        <v>572560.19000000006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336638.26</v>
      </c>
      <c r="G549" s="87">
        <f>L526</f>
        <v>0</v>
      </c>
      <c r="H549" s="87">
        <f>L531</f>
        <v>9255.6200000000008</v>
      </c>
      <c r="I549" s="87">
        <f>L536</f>
        <v>0</v>
      </c>
      <c r="J549" s="87">
        <f>L541</f>
        <v>0</v>
      </c>
      <c r="K549" s="87">
        <f>SUM(F549:J549)</f>
        <v>345893.88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212556.31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14110</v>
      </c>
      <c r="K551" s="87">
        <f>SUM(F551:J551)</f>
        <v>226666.31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549194.57000000007</v>
      </c>
      <c r="G552" s="89">
        <f t="shared" si="43"/>
        <v>0</v>
      </c>
      <c r="H552" s="89">
        <f t="shared" si="43"/>
        <v>9255.6200000000008</v>
      </c>
      <c r="I552" s="89">
        <f t="shared" si="43"/>
        <v>0</v>
      </c>
      <c r="J552" s="89">
        <f t="shared" si="43"/>
        <v>14110</v>
      </c>
      <c r="K552" s="89">
        <f t="shared" si="43"/>
        <v>572560.18999999994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322717.76</v>
      </c>
      <c r="I575" s="87">
        <f>SUM(F575:H575)</f>
        <v>322717.76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795540.42</v>
      </c>
      <c r="I576" s="87">
        <f t="shared" ref="I576:I587" si="48">SUM(F576:H576)</f>
        <v>795540.42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30679.02</v>
      </c>
      <c r="G579" s="18"/>
      <c r="H579" s="18">
        <v>89978.12</v>
      </c>
      <c r="I579" s="87">
        <f t="shared" si="48"/>
        <v>120657.14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122578.19</v>
      </c>
      <c r="I580" s="87">
        <f t="shared" si="48"/>
        <v>122578.19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116246.38+4623.54</f>
        <v>120869.92</v>
      </c>
      <c r="I591" s="18"/>
      <c r="J591" s="18"/>
      <c r="K591" s="104">
        <f t="shared" ref="K591:K597" si="49">SUM(H591:J591)</f>
        <v>120869.92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14110</v>
      </c>
      <c r="K592" s="104">
        <f t="shared" si="49"/>
        <v>14110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120869.92</v>
      </c>
      <c r="I598" s="108">
        <f>SUM(I591:I597)</f>
        <v>0</v>
      </c>
      <c r="J598" s="108">
        <f>SUM(J591:J597)</f>
        <v>14110</v>
      </c>
      <c r="K598" s="108">
        <f>SUM(K591:K597)</f>
        <v>134979.91999999998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20442.79</v>
      </c>
      <c r="I604" s="18"/>
      <c r="J604" s="18"/>
      <c r="K604" s="104">
        <f>SUM(H604:J604)</f>
        <v>20442.79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20442.79</v>
      </c>
      <c r="I605" s="108">
        <f>SUM(I602:I604)</f>
        <v>0</v>
      </c>
      <c r="J605" s="108">
        <f>SUM(J602:J604)</f>
        <v>0</v>
      </c>
      <c r="K605" s="108">
        <f>SUM(K602:K604)</f>
        <v>20442.79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142289.78999999998</v>
      </c>
      <c r="H617" s="109">
        <f>SUM(F52)</f>
        <v>142289.79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30664.329999999998</v>
      </c>
      <c r="H618" s="109">
        <f>SUM(G52)</f>
        <v>30664.329999999998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82228.72</v>
      </c>
      <c r="H619" s="109">
        <f>SUM(H52)</f>
        <v>82228.72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91523</v>
      </c>
      <c r="H621" s="109">
        <f>SUM(J52)</f>
        <v>91523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9203.75</v>
      </c>
      <c r="H622" s="109">
        <f>F476</f>
        <v>9203.75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58528.63</v>
      </c>
      <c r="H624" s="109">
        <f>H476</f>
        <v>58528.630000000005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68708</v>
      </c>
      <c r="H626" s="109">
        <f>J476</f>
        <v>68708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3479942.0700000003</v>
      </c>
      <c r="H627" s="104">
        <f>SUM(F468)</f>
        <v>3479942.0700000003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89617.47</v>
      </c>
      <c r="H628" s="104">
        <f>SUM(G468)</f>
        <v>89617.47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72417.41</v>
      </c>
      <c r="H629" s="104">
        <f>SUM(H468)</f>
        <v>72417.41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16000</v>
      </c>
      <c r="H631" s="104">
        <f>SUM(J468)</f>
        <v>16000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3592392.14</v>
      </c>
      <c r="H632" s="104">
        <f>SUM(F472)</f>
        <v>3592392.14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71327.899999999994</v>
      </c>
      <c r="H633" s="104">
        <f>SUM(H472)</f>
        <v>71327.899999999994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240</v>
      </c>
      <c r="H634" s="104">
        <f>I369</f>
        <v>240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89617.47</v>
      </c>
      <c r="H635" s="104">
        <f>SUM(G472)</f>
        <v>89617.47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16000</v>
      </c>
      <c r="H637" s="164">
        <f>SUM(J468)</f>
        <v>16000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22815</v>
      </c>
      <c r="H638" s="164">
        <f>SUM(J472)</f>
        <v>22815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91523</v>
      </c>
      <c r="H639" s="104">
        <f>SUM(F461)</f>
        <v>91523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91523</v>
      </c>
      <c r="H642" s="104">
        <f>SUM(I461)</f>
        <v>91523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16000</v>
      </c>
      <c r="H645" s="104">
        <f>G408</f>
        <v>16000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16000</v>
      </c>
      <c r="H646" s="104">
        <f>L408</f>
        <v>16000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134979.91999999998</v>
      </c>
      <c r="H647" s="104">
        <f>L208+L226+L244</f>
        <v>134979.92000000001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20442.79</v>
      </c>
      <c r="H648" s="104">
        <f>(J257+J338)-(J255+J336)</f>
        <v>20442.789999999997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120869.92000000001</v>
      </c>
      <c r="H649" s="104">
        <f>H598</f>
        <v>120869.92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14110</v>
      </c>
      <c r="H651" s="104">
        <f>J598</f>
        <v>14110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8725.5300000000007</v>
      </c>
      <c r="H652" s="104">
        <f>K263+K345</f>
        <v>8725.5300000000007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16000</v>
      </c>
      <c r="H655" s="104">
        <f>K266+K347</f>
        <v>16000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2324178.87</v>
      </c>
      <c r="G660" s="19">
        <f>(L229+L309+L359)</f>
        <v>0</v>
      </c>
      <c r="H660" s="19">
        <f>(L247+L328+L360)</f>
        <v>1344924.4900000002</v>
      </c>
      <c r="I660" s="19">
        <f>SUM(F660:H660)</f>
        <v>3669103.3600000003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65566.179999999993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65566.179999999993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120869.92000000001</v>
      </c>
      <c r="G662" s="19">
        <f>(L226+L306)-(J226+J306)</f>
        <v>0</v>
      </c>
      <c r="H662" s="19">
        <f>(L244+L325)-(J244+J325)</f>
        <v>14110</v>
      </c>
      <c r="I662" s="19">
        <f>SUM(F662:H662)</f>
        <v>134979.92000000001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51121.81</v>
      </c>
      <c r="G663" s="199">
        <f>SUM(G575:G587)+SUM(I602:I604)+L612</f>
        <v>0</v>
      </c>
      <c r="H663" s="199">
        <f>SUM(H575:H587)+SUM(J602:J604)+L613</f>
        <v>1330814.4900000002</v>
      </c>
      <c r="I663" s="19">
        <f>SUM(F663:H663)</f>
        <v>1381936.3000000003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2086620.9600000002</v>
      </c>
      <c r="G664" s="19">
        <f>G660-SUM(G661:G663)</f>
        <v>0</v>
      </c>
      <c r="H664" s="19">
        <f>H660-SUM(H661:H663)</f>
        <v>0</v>
      </c>
      <c r="I664" s="19">
        <f>I660-SUM(I661:I663)</f>
        <v>2086620.96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96.37</v>
      </c>
      <c r="G665" s="248"/>
      <c r="H665" s="248"/>
      <c r="I665" s="19">
        <f>SUM(F665:H665)</f>
        <v>96.37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21652.18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21652.18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21652.18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21652.18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abSelected="1" workbookViewId="0">
      <selection activeCell="C10" sqref="C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Cornish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0" t="s">
        <v>784</v>
      </c>
      <c r="B3" s="280"/>
      <c r="C3" s="280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783</v>
      </c>
      <c r="C6" s="279"/>
    </row>
    <row r="7" spans="1:3" x14ac:dyDescent="0.2">
      <c r="A7" s="239" t="s">
        <v>786</v>
      </c>
      <c r="B7" s="277" t="s">
        <v>782</v>
      </c>
      <c r="C7" s="278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503802.62</v>
      </c>
      <c r="C9" s="229">
        <f>'DOE25'!G197+'DOE25'!G215+'DOE25'!G233+'DOE25'!G276+'DOE25'!G295+'DOE25'!G314</f>
        <v>285083.12999999995</v>
      </c>
    </row>
    <row r="10" spans="1:3" x14ac:dyDescent="0.2">
      <c r="A10" t="s">
        <v>779</v>
      </c>
      <c r="B10" s="240">
        <v>360333.62</v>
      </c>
      <c r="C10" s="240">
        <v>239598.17</v>
      </c>
    </row>
    <row r="11" spans="1:3" x14ac:dyDescent="0.2">
      <c r="A11" t="s">
        <v>780</v>
      </c>
      <c r="B11" s="240">
        <v>143469</v>
      </c>
      <c r="C11" s="240">
        <v>45484.959999999999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503802.62</v>
      </c>
      <c r="C13" s="231">
        <f>SUM(C10:C12)</f>
        <v>285083.13</v>
      </c>
    </row>
    <row r="14" spans="1:3" x14ac:dyDescent="0.2">
      <c r="B14" s="230"/>
      <c r="C14" s="230"/>
    </row>
    <row r="15" spans="1:3" x14ac:dyDescent="0.2">
      <c r="B15" s="279" t="s">
        <v>783</v>
      </c>
      <c r="C15" s="279"/>
    </row>
    <row r="16" spans="1:3" x14ac:dyDescent="0.2">
      <c r="A16" s="239" t="s">
        <v>787</v>
      </c>
      <c r="B16" s="277" t="s">
        <v>707</v>
      </c>
      <c r="C16" s="278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189764.05</v>
      </c>
      <c r="C18" s="229">
        <f>'DOE25'!G198+'DOE25'!G216+'DOE25'!G234+'DOE25'!G277+'DOE25'!G296+'DOE25'!G315</f>
        <v>66271.240000000005</v>
      </c>
    </row>
    <row r="19" spans="1:3" x14ac:dyDescent="0.2">
      <c r="A19" t="s">
        <v>779</v>
      </c>
      <c r="B19" s="240">
        <v>72936</v>
      </c>
      <c r="C19" s="240">
        <v>46861.63</v>
      </c>
    </row>
    <row r="20" spans="1:3" x14ac:dyDescent="0.2">
      <c r="A20" t="s">
        <v>780</v>
      </c>
      <c r="B20" s="240">
        <v>116828.05</v>
      </c>
      <c r="C20" s="240">
        <v>19409.61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189764.05</v>
      </c>
      <c r="C22" s="231">
        <f>SUM(C19:C21)</f>
        <v>66271.239999999991</v>
      </c>
    </row>
    <row r="23" spans="1:3" x14ac:dyDescent="0.2">
      <c r="B23" s="230"/>
      <c r="C23" s="230"/>
    </row>
    <row r="24" spans="1:3" x14ac:dyDescent="0.2">
      <c r="B24" s="279" t="s">
        <v>783</v>
      </c>
      <c r="C24" s="279"/>
    </row>
    <row r="25" spans="1:3" x14ac:dyDescent="0.2">
      <c r="A25" s="239" t="s">
        <v>788</v>
      </c>
      <c r="B25" s="277" t="s">
        <v>708</v>
      </c>
      <c r="C25" s="278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783</v>
      </c>
      <c r="C33" s="279"/>
    </row>
    <row r="34" spans="1:3" x14ac:dyDescent="0.2">
      <c r="A34" s="239" t="s">
        <v>789</v>
      </c>
      <c r="B34" s="277" t="s">
        <v>709</v>
      </c>
      <c r="C34" s="278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29137.27</v>
      </c>
      <c r="C36" s="235">
        <f>'DOE25'!G200+'DOE25'!G218+'DOE25'!G236+'DOE25'!G279+'DOE25'!G298+'DOE25'!G317</f>
        <v>5142.5099999999993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>
        <f>+B36</f>
        <v>29137.27</v>
      </c>
      <c r="C38" s="240">
        <f>+C36</f>
        <v>5142.5099999999993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29137.27</v>
      </c>
      <c r="C40" s="231">
        <f>SUM(C37:C39)</f>
        <v>5142.5099999999993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3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790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717</v>
      </c>
      <c r="B2" s="265" t="str">
        <f>'DOE25'!A2</f>
        <v>Cornish School District</v>
      </c>
      <c r="C2" s="181"/>
      <c r="D2" s="181" t="s">
        <v>792</v>
      </c>
      <c r="E2" s="181" t="s">
        <v>794</v>
      </c>
      <c r="F2" s="281" t="s">
        <v>821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2533822.7800000003</v>
      </c>
      <c r="D5" s="20">
        <f>SUM('DOE25'!L197:L200)+SUM('DOE25'!L215:L218)+SUM('DOE25'!L233:L236)-F5-G5</f>
        <v>2517430.0000000005</v>
      </c>
      <c r="E5" s="243"/>
      <c r="F5" s="255">
        <f>SUM('DOE25'!J197:J200)+SUM('DOE25'!J215:J218)+SUM('DOE25'!J233:J236)</f>
        <v>16392.78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92264.069999999992</v>
      </c>
      <c r="D6" s="20">
        <f>'DOE25'!L202+'DOE25'!L220+'DOE25'!L238-F6-G6</f>
        <v>92154.069999999992</v>
      </c>
      <c r="E6" s="243"/>
      <c r="F6" s="255">
        <f>'DOE25'!J202+'DOE25'!J220+'DOE25'!J238</f>
        <v>110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59738.15</v>
      </c>
      <c r="D7" s="20">
        <f>'DOE25'!L203+'DOE25'!L221+'DOE25'!L239-F7-G7</f>
        <v>59738.15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190470.69</v>
      </c>
      <c r="D8" s="243"/>
      <c r="E8" s="20">
        <f>'DOE25'!L204+'DOE25'!L222+'DOE25'!L240-F8-G8-D9-D11</f>
        <v>189476.19</v>
      </c>
      <c r="F8" s="255">
        <f>'DOE25'!J204+'DOE25'!J222+'DOE25'!J240</f>
        <v>0</v>
      </c>
      <c r="G8" s="53">
        <f>'DOE25'!K204+'DOE25'!K222+'DOE25'!K240</f>
        <v>994.5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12318.970000000001</v>
      </c>
      <c r="D9" s="244">
        <f>18112.89+2124.08-7918</f>
        <v>12318.970000000001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7918</v>
      </c>
      <c r="D10" s="243"/>
      <c r="E10" s="244">
        <v>7918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25347.31</v>
      </c>
      <c r="D11" s="244">
        <v>25347.31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187884.78000000003</v>
      </c>
      <c r="D12" s="20">
        <f>'DOE25'!L205+'DOE25'!L223+'DOE25'!L241-F12-G12</f>
        <v>183872.78000000003</v>
      </c>
      <c r="E12" s="243"/>
      <c r="F12" s="255">
        <f>'DOE25'!J205+'DOE25'!J223+'DOE25'!J241</f>
        <v>51.73</v>
      </c>
      <c r="G12" s="53">
        <f>'DOE25'!K205+'DOE25'!K223+'DOE25'!K241</f>
        <v>3960.27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271331.32</v>
      </c>
      <c r="D14" s="20">
        <f>'DOE25'!L207+'DOE25'!L225+'DOE25'!L243-F14-G14</f>
        <v>271331.32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134979.92000000001</v>
      </c>
      <c r="D15" s="20">
        <f>'DOE25'!L208+'DOE25'!L226+'DOE25'!L244-F15-G15</f>
        <v>134979.92000000001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59508.62</v>
      </c>
      <c r="D25" s="243"/>
      <c r="E25" s="243"/>
      <c r="F25" s="258"/>
      <c r="G25" s="256"/>
      <c r="H25" s="257">
        <f>'DOE25'!L260+'DOE25'!L261+'DOE25'!L341+'DOE25'!L342</f>
        <v>59508.62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89377.47</v>
      </c>
      <c r="D29" s="20">
        <f>'DOE25'!L358+'DOE25'!L359+'DOE25'!L360-'DOE25'!I367-F29-G29</f>
        <v>89377.47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71327.899999999994</v>
      </c>
      <c r="D31" s="20">
        <f>'DOE25'!L290+'DOE25'!L309+'DOE25'!L328+'DOE25'!L333+'DOE25'!L334+'DOE25'!L335-F31-G31</f>
        <v>67439.62</v>
      </c>
      <c r="E31" s="243"/>
      <c r="F31" s="255">
        <f>'DOE25'!J290+'DOE25'!J309+'DOE25'!J328+'DOE25'!J333+'DOE25'!J334+'DOE25'!J335</f>
        <v>3888.2799999999997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3453989.6100000003</v>
      </c>
      <c r="E33" s="246">
        <f>SUM(E5:E31)</f>
        <v>197394.19</v>
      </c>
      <c r="F33" s="246">
        <f>SUM(F5:F31)</f>
        <v>20442.789999999997</v>
      </c>
      <c r="G33" s="246">
        <f>SUM(G5:G31)</f>
        <v>4954.7700000000004</v>
      </c>
      <c r="H33" s="246">
        <f>SUM(H5:H31)</f>
        <v>59508.62</v>
      </c>
    </row>
    <row r="35" spans="2:8" ht="12" thickBot="1" x14ac:dyDescent="0.25">
      <c r="B35" s="253" t="s">
        <v>847</v>
      </c>
      <c r="D35" s="254">
        <f>E33</f>
        <v>197394.19</v>
      </c>
      <c r="E35" s="249"/>
    </row>
    <row r="36" spans="2:8" ht="12" thickTop="1" x14ac:dyDescent="0.2">
      <c r="B36" t="s">
        <v>815</v>
      </c>
      <c r="D36" s="20">
        <f>D33</f>
        <v>3453989.6100000003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Cornish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119474.79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91523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14139.78</v>
      </c>
      <c r="E11" s="95">
        <f>'DOE25'!H12</f>
        <v>58528.63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22815</v>
      </c>
      <c r="D12" s="95">
        <f>'DOE25'!G13</f>
        <v>14076.18</v>
      </c>
      <c r="E12" s="95">
        <f>'DOE25'!H13</f>
        <v>23700.09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2448.37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142289.78999999998</v>
      </c>
      <c r="D18" s="41">
        <f>SUM(D8:D17)</f>
        <v>30664.329999999998</v>
      </c>
      <c r="E18" s="41">
        <f>SUM(E8:E17)</f>
        <v>82228.72</v>
      </c>
      <c r="F18" s="41">
        <f>SUM(F8:F17)</f>
        <v>0</v>
      </c>
      <c r="G18" s="41">
        <f>SUM(G8:G17)</f>
        <v>91523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51312.73</v>
      </c>
      <c r="D21" s="95">
        <f>'DOE25'!G22</f>
        <v>0</v>
      </c>
      <c r="E21" s="95">
        <f>'DOE25'!H22</f>
        <v>21355.759999999998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22815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38132.080000000002</v>
      </c>
      <c r="D23" s="95">
        <f>'DOE25'!G24</f>
        <v>29624.42</v>
      </c>
      <c r="E23" s="95">
        <f>'DOE25'!H24</f>
        <v>2321.5500000000002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43641.23</v>
      </c>
      <c r="D27" s="95">
        <f>'DOE25'!G28</f>
        <v>0</v>
      </c>
      <c r="E27" s="95">
        <f>'DOE25'!H28</f>
        <v>22.78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1039.9100000000001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133086.04</v>
      </c>
      <c r="D31" s="41">
        <f>SUM(D21:D30)</f>
        <v>30664.329999999998</v>
      </c>
      <c r="E31" s="41">
        <f>SUM(E21:E30)</f>
        <v>23700.089999999997</v>
      </c>
      <c r="F31" s="41">
        <f>SUM(F21:F30)</f>
        <v>0</v>
      </c>
      <c r="G31" s="41">
        <f>SUM(G21:G30)</f>
        <v>22815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9203.75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58528.63</v>
      </c>
      <c r="F47" s="95">
        <f>'DOE25'!I48</f>
        <v>0</v>
      </c>
      <c r="G47" s="95">
        <f>'DOE25'!J48</f>
        <v>68708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9203.75</v>
      </c>
      <c r="D50" s="41">
        <f>SUM(D34:D49)</f>
        <v>0</v>
      </c>
      <c r="E50" s="41">
        <f>SUM(E34:E49)</f>
        <v>58528.63</v>
      </c>
      <c r="F50" s="41">
        <f>SUM(F34:F49)</f>
        <v>0</v>
      </c>
      <c r="G50" s="41">
        <f>SUM(G34:G49)</f>
        <v>68708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142289.79</v>
      </c>
      <c r="D51" s="41">
        <f>D50+D31</f>
        <v>30664.329999999998</v>
      </c>
      <c r="E51" s="41">
        <f>E50+E31</f>
        <v>82228.72</v>
      </c>
      <c r="F51" s="41">
        <f>F50+F31</f>
        <v>0</v>
      </c>
      <c r="G51" s="41">
        <f>G50+G31</f>
        <v>91523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2174561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35181.57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271.89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65566.179999999993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67469.12999999999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67741.01999999999</v>
      </c>
      <c r="D62" s="130">
        <f>SUM(D57:D61)</f>
        <v>65566.179999999993</v>
      </c>
      <c r="E62" s="130">
        <f>SUM(E57:E61)</f>
        <v>35181.57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2242302.02</v>
      </c>
      <c r="D63" s="22">
        <f>D56+D62</f>
        <v>65566.179999999993</v>
      </c>
      <c r="E63" s="22">
        <f>E56+E62</f>
        <v>35181.57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694514.77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455033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1149547.77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15466.67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23678.32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572.24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39144.99</v>
      </c>
      <c r="D78" s="130">
        <f>SUM(D72:D77)</f>
        <v>572.24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1188692.76</v>
      </c>
      <c r="D81" s="130">
        <f>SUM(D79:D80)+D78+D70</f>
        <v>572.24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26132.29</v>
      </c>
      <c r="D88" s="95">
        <f>SUM('DOE25'!G153:G161)</f>
        <v>14753.52</v>
      </c>
      <c r="E88" s="95">
        <f>SUM('DOE25'!H153:H161)</f>
        <v>37235.839999999997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26132.29</v>
      </c>
      <c r="D91" s="131">
        <f>SUM(D85:D90)</f>
        <v>14753.52</v>
      </c>
      <c r="E91" s="131">
        <f>SUM(E85:E90)</f>
        <v>37235.839999999997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8725.5300000000007</v>
      </c>
      <c r="E96" s="95">
        <f>'DOE25'!H179</f>
        <v>0</v>
      </c>
      <c r="F96" s="95">
        <f>'DOE25'!I179</f>
        <v>0</v>
      </c>
      <c r="G96" s="95">
        <f>'DOE25'!J179</f>
        <v>16000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22815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22815</v>
      </c>
      <c r="D103" s="86">
        <f>SUM(D93:D102)</f>
        <v>8725.5300000000007</v>
      </c>
      <c r="E103" s="86">
        <f>SUM(E93:E102)</f>
        <v>0</v>
      </c>
      <c r="F103" s="86">
        <f>SUM(F93:F102)</f>
        <v>0</v>
      </c>
      <c r="G103" s="86">
        <f>SUM(G93:G102)</f>
        <v>16000</v>
      </c>
    </row>
    <row r="104" spans="1:7" ht="12.75" thickTop="1" thickBot="1" x14ac:dyDescent="0.25">
      <c r="A104" s="33" t="s">
        <v>765</v>
      </c>
      <c r="C104" s="86">
        <f>C63+C81+C91+C103</f>
        <v>3479942.0700000003</v>
      </c>
      <c r="D104" s="86">
        <f>D63+D81+D91+D103</f>
        <v>89617.47</v>
      </c>
      <c r="E104" s="86">
        <f>E63+E81+E91+E103</f>
        <v>72417.41</v>
      </c>
      <c r="F104" s="86">
        <f>F63+F81+F91+F103</f>
        <v>0</v>
      </c>
      <c r="G104" s="86">
        <f>G63+G81+G103</f>
        <v>16000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1976939.1800000002</v>
      </c>
      <c r="D109" s="24" t="s">
        <v>289</v>
      </c>
      <c r="E109" s="95">
        <f>('DOE25'!L276)+('DOE25'!L295)+('DOE25'!L314)</f>
        <v>21946.04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549194.57000000007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7689.03</v>
      </c>
      <c r="D112" s="24" t="s">
        <v>289</v>
      </c>
      <c r="E112" s="95">
        <f>+('DOE25'!L279)+('DOE25'!L298)+('DOE25'!L317)</f>
        <v>34092.06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2533822.7799999998</v>
      </c>
      <c r="D115" s="86">
        <f>SUM(D109:D114)</f>
        <v>0</v>
      </c>
      <c r="E115" s="86">
        <f>SUM(E109:E114)</f>
        <v>56038.1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92264.069999999992</v>
      </c>
      <c r="D118" s="24" t="s">
        <v>289</v>
      </c>
      <c r="E118" s="95">
        <f>+('DOE25'!L281)+('DOE25'!L300)+('DOE25'!L319)</f>
        <v>11339.230000000001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59738.15</v>
      </c>
      <c r="D119" s="24" t="s">
        <v>289</v>
      </c>
      <c r="E119" s="95">
        <f>+('DOE25'!L282)+('DOE25'!L301)+('DOE25'!L320)</f>
        <v>3157.29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228136.97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187884.78000000003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793.28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271331.32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134979.92000000001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89617.47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974335.21000000008</v>
      </c>
      <c r="D128" s="86">
        <f>SUM(D118:D127)</f>
        <v>89617.47</v>
      </c>
      <c r="E128" s="86">
        <f>SUM(E118:E127)</f>
        <v>15289.800000000001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51111.11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8397.51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22815</v>
      </c>
    </row>
    <row r="135" spans="1:7" x14ac:dyDescent="0.2">
      <c r="A135" t="s">
        <v>233</v>
      </c>
      <c r="B135" s="32" t="s">
        <v>234</v>
      </c>
      <c r="C135" s="95">
        <f>'DOE25'!L263</f>
        <v>8725.5300000000007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84234.150000000009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22815</v>
      </c>
    </row>
    <row r="145" spans="1:9" ht="12.75" thickTop="1" thickBot="1" x14ac:dyDescent="0.25">
      <c r="A145" s="33" t="s">
        <v>244</v>
      </c>
      <c r="C145" s="86">
        <f>(C115+C128+C144)</f>
        <v>3592392.1399999997</v>
      </c>
      <c r="D145" s="86">
        <f>(D115+D128+D144)</f>
        <v>89617.47</v>
      </c>
      <c r="E145" s="86">
        <f>(E115+E128+E144)</f>
        <v>71327.899999999994</v>
      </c>
      <c r="F145" s="86">
        <f>(F115+F128+F144)</f>
        <v>0</v>
      </c>
      <c r="G145" s="86">
        <f>(G115+G128+G144)</f>
        <v>22815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9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07/15/11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07/15/19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460000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0.03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306666.66000000003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306666.66000000003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51111.11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51111.11</v>
      </c>
    </row>
    <row r="159" spans="1:9" x14ac:dyDescent="0.2">
      <c r="A159" s="22" t="s">
        <v>35</v>
      </c>
      <c r="B159" s="137">
        <f>'DOE25'!F498</f>
        <v>255555.55000000005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255555.55000000005</v>
      </c>
    </row>
    <row r="160" spans="1:9" x14ac:dyDescent="0.2">
      <c r="A160" s="22" t="s">
        <v>36</v>
      </c>
      <c r="B160" s="137">
        <f>'DOE25'!F499</f>
        <v>19088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19088</v>
      </c>
    </row>
    <row r="161" spans="1:7" x14ac:dyDescent="0.2">
      <c r="A161" s="22" t="s">
        <v>37</v>
      </c>
      <c r="B161" s="137">
        <f>'DOE25'!F500</f>
        <v>274643.55000000005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274643.55000000005</v>
      </c>
    </row>
    <row r="162" spans="1:7" x14ac:dyDescent="0.2">
      <c r="A162" s="22" t="s">
        <v>38</v>
      </c>
      <c r="B162" s="137">
        <f>'DOE25'!F501</f>
        <v>51111.11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51111.11</v>
      </c>
    </row>
    <row r="163" spans="1:7" x14ac:dyDescent="0.2">
      <c r="A163" s="22" t="s">
        <v>39</v>
      </c>
      <c r="B163" s="137">
        <f>'DOE25'!F502</f>
        <v>7666.6665000000012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7666.6665000000012</v>
      </c>
    </row>
    <row r="164" spans="1:7" x14ac:dyDescent="0.2">
      <c r="A164" s="22" t="s">
        <v>246</v>
      </c>
      <c r="B164" s="137">
        <f>'DOE25'!F503</f>
        <v>58777.7765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58777.7765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4294967295" verticalDpi="4294967295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740</v>
      </c>
      <c r="B1" s="285"/>
      <c r="C1" s="285"/>
      <c r="D1" s="285"/>
    </row>
    <row r="2" spans="1:4" x14ac:dyDescent="0.2">
      <c r="A2" s="187" t="s">
        <v>717</v>
      </c>
      <c r="B2" s="186" t="str">
        <f>'DOE25'!A2</f>
        <v>Cornish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21652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21652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1998885</v>
      </c>
      <c r="D10" s="182">
        <f>ROUND((C10/$C$28)*100,1)</f>
        <v>55.3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549195</v>
      </c>
      <c r="D11" s="182">
        <f>ROUND((C11/$C$28)*100,1)</f>
        <v>15.2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41781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103603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62895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228137</v>
      </c>
      <c r="D17" s="182">
        <f t="shared" si="0"/>
        <v>6.3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187885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793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271331</v>
      </c>
      <c r="D20" s="182">
        <f t="shared" si="0"/>
        <v>7.5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134980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8398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24050.820000000007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3611933.82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3611933.82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51111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2174561</v>
      </c>
      <c r="D35" s="182">
        <f t="shared" ref="D35:D40" si="1">ROUND((C35/$C$41)*100,1)</f>
        <v>61.3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102922.58999999985</v>
      </c>
      <c r="D36" s="182">
        <f t="shared" si="1"/>
        <v>2.9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1149548</v>
      </c>
      <c r="D37" s="182">
        <f t="shared" si="1"/>
        <v>32.4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39717</v>
      </c>
      <c r="D38" s="182">
        <f t="shared" si="1"/>
        <v>1.1000000000000001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78122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3544870.59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1" activePane="bottomLeft" state="frozen"/>
      <selection activeCell="F46" sqref="F46"/>
      <selection pane="bottomLeft" sqref="A1:M7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767</v>
      </c>
      <c r="B2" s="297"/>
      <c r="C2" s="297"/>
      <c r="D2" s="297"/>
      <c r="E2" s="297"/>
      <c r="F2" s="294" t="str">
        <f>'DOE25'!A2</f>
        <v>Cornish School District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75">
        <v>3</v>
      </c>
      <c r="B4" s="276">
        <v>23</v>
      </c>
      <c r="C4" s="288" t="s">
        <v>914</v>
      </c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848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4:M4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2015-10-19T18:28:46Z</cp:lastPrinted>
  <dcterms:created xsi:type="dcterms:W3CDTF">1997-12-04T19:04:30Z</dcterms:created>
  <dcterms:modified xsi:type="dcterms:W3CDTF">2015-10-19T18:35:49Z</dcterms:modified>
</cp:coreProperties>
</file>