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1" i="12" l="1"/>
  <c r="H198" i="1" l="1"/>
  <c r="H197" i="1"/>
  <c r="F50" i="1" l="1"/>
  <c r="J468" i="1"/>
  <c r="J465" i="1"/>
  <c r="F439" i="1"/>
  <c r="F28" i="1"/>
  <c r="G575" i="1" l="1"/>
  <c r="H591" i="1"/>
  <c r="H208" i="1"/>
  <c r="H150" i="1" l="1"/>
  <c r="D9" i="13" l="1"/>
  <c r="H281" i="1"/>
  <c r="G281" i="1"/>
  <c r="F281" i="1"/>
  <c r="G277" i="1"/>
  <c r="F277" i="1"/>
  <c r="I276" i="1"/>
  <c r="J276" i="1"/>
  <c r="G276" i="1"/>
  <c r="F276" i="1"/>
  <c r="I208" i="1"/>
  <c r="G208" i="1"/>
  <c r="I207" i="1"/>
  <c r="H207" i="1"/>
  <c r="G207" i="1"/>
  <c r="F207" i="1"/>
  <c r="G205" i="1"/>
  <c r="F205" i="1"/>
  <c r="H204" i="1"/>
  <c r="G204" i="1"/>
  <c r="H202" i="1"/>
  <c r="G198" i="1"/>
  <c r="F198" i="1"/>
  <c r="J197" i="1"/>
  <c r="I197" i="1"/>
  <c r="G197" i="1"/>
  <c r="F197" i="1"/>
  <c r="F1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C18" i="2" s="1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E62" i="2" s="1"/>
  <c r="E63" i="2" s="1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F408" i="1" s="1"/>
  <c r="H643" i="1" s="1"/>
  <c r="J643" i="1" s="1"/>
  <c r="G393" i="1"/>
  <c r="H393" i="1"/>
  <c r="H408" i="1" s="1"/>
  <c r="H644" i="1" s="1"/>
  <c r="J644" i="1" s="1"/>
  <c r="I393" i="1"/>
  <c r="I408" i="1" s="1"/>
  <c r="F401" i="1"/>
  <c r="G401" i="1"/>
  <c r="H401" i="1"/>
  <c r="I401" i="1"/>
  <c r="F407" i="1"/>
  <c r="G407" i="1"/>
  <c r="H407" i="1"/>
  <c r="I407" i="1"/>
  <c r="G408" i="1"/>
  <c r="H645" i="1" s="1"/>
  <c r="J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H476" i="1" s="1"/>
  <c r="H624" i="1" s="1"/>
  <c r="J624" i="1" s="1"/>
  <c r="I470" i="1"/>
  <c r="I476" i="1" s="1"/>
  <c r="H625" i="1" s="1"/>
  <c r="J470" i="1"/>
  <c r="J476" i="1" s="1"/>
  <c r="H626" i="1" s="1"/>
  <c r="F474" i="1"/>
  <c r="F476" i="1" s="1"/>
  <c r="H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G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26" i="10"/>
  <c r="L328" i="1"/>
  <c r="L351" i="1"/>
  <c r="I662" i="1"/>
  <c r="L290" i="1"/>
  <c r="F660" i="1" s="1"/>
  <c r="F664" i="1" s="1"/>
  <c r="F672" i="1" s="1"/>
  <c r="C4" i="10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G338" i="1"/>
  <c r="G352" i="1" s="1"/>
  <c r="F169" i="1"/>
  <c r="J140" i="1"/>
  <c r="F571" i="1"/>
  <c r="H257" i="1"/>
  <c r="H271" i="1" s="1"/>
  <c r="I552" i="1"/>
  <c r="G22" i="2"/>
  <c r="K598" i="1"/>
  <c r="G647" i="1" s="1"/>
  <c r="J647" i="1" s="1"/>
  <c r="H552" i="1"/>
  <c r="C29" i="10"/>
  <c r="I661" i="1"/>
  <c r="H140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H192" i="1"/>
  <c r="E128" i="2"/>
  <c r="F552" i="1"/>
  <c r="C35" i="10"/>
  <c r="L309" i="1"/>
  <c r="D5" i="13"/>
  <c r="C5" i="13" s="1"/>
  <c r="E16" i="13"/>
  <c r="E33" i="13" s="1"/>
  <c r="D35" i="13" s="1"/>
  <c r="J655" i="1"/>
  <c r="L570" i="1"/>
  <c r="I571" i="1"/>
  <c r="I545" i="1"/>
  <c r="J636" i="1"/>
  <c r="G36" i="2"/>
  <c r="L565" i="1"/>
  <c r="G545" i="1"/>
  <c r="C22" i="13"/>
  <c r="C16" i="13"/>
  <c r="H33" i="13"/>
  <c r="H545" i="1" l="1"/>
  <c r="L545" i="1"/>
  <c r="K551" i="1"/>
  <c r="K552" i="1" s="1"/>
  <c r="H660" i="1"/>
  <c r="H664" i="1" s="1"/>
  <c r="L257" i="1"/>
  <c r="L271" i="1" s="1"/>
  <c r="G632" i="1" s="1"/>
  <c r="J632" i="1" s="1"/>
  <c r="L393" i="1"/>
  <c r="C138" i="2" s="1"/>
  <c r="L401" i="1"/>
  <c r="C139" i="2" s="1"/>
  <c r="J622" i="1"/>
  <c r="G625" i="1"/>
  <c r="J625" i="1" s="1"/>
  <c r="J617" i="1"/>
  <c r="H52" i="1"/>
  <c r="H619" i="1" s="1"/>
  <c r="F667" i="1"/>
  <c r="C62" i="2"/>
  <c r="C63" i="2" s="1"/>
  <c r="C104" i="2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G104" i="2" l="1"/>
  <c r="C141" i="2"/>
  <c r="C144" i="2" s="1"/>
  <c r="C145" i="2" s="1"/>
  <c r="L408" i="1"/>
  <c r="G637" i="1" s="1"/>
  <c r="J637" i="1" s="1"/>
  <c r="D31" i="13"/>
  <c r="C31" i="13" s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46" i="1" l="1"/>
  <c r="J646" i="1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<sst xmlns="http://schemas.openxmlformats.org/spreadsheetml/2006/main" count="3956" uniqueCount="912">
  <si>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</si>
  <si>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</si>
  <si>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</si>
  <si>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</si>
  <si>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</si>
  <si>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</si>
  <si>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</si>
  <si>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</si>
  <si>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</si>
  <si>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</si>
  <si>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</si>
  <si>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</si>
  <si>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</si>
  <si>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</si>
  <si>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</si>
  <si>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</si>
  <si>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</si>
  <si>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</si>
  <si>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</si>
  <si>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</si>
  <si>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</si>
  <si>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</si>
  <si>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</si>
  <si>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</si>
  <si>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</si>
  <si>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</si>
  <si>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</si>
  <si>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</si>
  <si>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</si>
  <si>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</si>
  <si>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</si>
  <si>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</si>
  <si>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</si>
  <si>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</si>
  <si>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</si>
  <si>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</si>
  <si>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</si>
  <si>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</si>
  <si>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</si>
  <si>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</si>
  <si>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</si>
  <si>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</si>
  <si>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</si>
  <si>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</si>
  <si>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</si>
  <si>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</si>
  <si>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</si>
  <si>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</si>
  <si>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</si>
  <si>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</si>
  <si>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</si>
  <si>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</si>
  <si>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</si>
  <si>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</si>
  <si>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</si>
  <si>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</si>
  <si>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</si>
  <si>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</si>
  <si>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</si>
  <si>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</si>
  <si>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</si>
  <si>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</si>
  <si>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</si>
  <si>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</si>
  <si>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</si>
  <si>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</si>
  <si>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</si>
  <si>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</si>
  <si>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</si>
  <si>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</si>
  <si>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</si>
  <si>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</si>
  <si>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</si>
  <si>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</si>
  <si>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</si>
  <si>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</si>
  <si>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</si>
  <si>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</si>
  <si>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</si>
  <si>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</si>
  <si>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</si>
  <si>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</si>
  <si>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</si>
  <si>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</si>
  <si>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</si>
  <si>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</si>
  <si>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</si>
  <si>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</si>
  <si>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</si>
  <si>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</si>
  <si>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</si>
  <si>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</si>
  <si>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</si>
  <si>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</si>
  <si>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</si>
  <si>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</si>
  <si>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</si>
  <si>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</si>
  <si>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</si>
  <si>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</si>
  <si>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</si>
  <si>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</si>
  <si>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</si>
  <si>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</si>
  <si>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</si>
  <si>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</si>
  <si>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</si>
  <si>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</si>
  <si>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</si>
  <si>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</si>
  <si>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</si>
  <si>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</si>
  <si>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</si>
  <si>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</si>
  <si>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</si>
  <si>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</si>
  <si>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</si>
  <si>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</si>
  <si>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</si>
  <si>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</si>
  <si>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</si>
  <si>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</si>
  <si>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</si>
  <si>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</si>
  <si>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</si>
  <si>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</si>
  <si>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</si>
  <si>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</si>
  <si>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</si>
  <si>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</si>
  <si>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</si>
  <si>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</si>
  <si>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</si>
  <si>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</si>
  <si>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</si>
  <si>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</si>
  <si>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</si>
  <si>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</si>
  <si>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</si>
  <si>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</si>
  <si>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</si>
  <si>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</si>
  <si>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</si>
  <si>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</si>
  <si>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</si>
  <si>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</si>
  <si>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</si>
  <si>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</si>
  <si>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</si>
  <si>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</si>
  <si>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</si>
  <si>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</si>
  <si>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</si>
  <si>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</si>
  <si>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</si>
  <si>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</si>
  <si>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</si>
  <si>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</si>
  <si>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</si>
  <si>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</si>
  <si>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</si>
  <si>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</si>
  <si>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</si>
  <si>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</si>
  <si>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</si>
  <si>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</si>
  <si>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</si>
  <si>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</si>
  <si>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</si>
  <si>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</si>
  <si>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</si>
  <si>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</si>
  <si>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</si>
  <si>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</si>
  <si>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</si>
  <si>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</si>
  <si>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</si>
  <si>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</si>
  <si>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</si>
  <si>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</si>
  <si>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</si>
  <si>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</si>
  <si>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</si>
  <si>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</si>
  <si>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</si>
  <si>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</si>
  <si>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</si>
  <si>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</si>
  <si>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</si>
  <si>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</si>
  <si>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</si>
  <si>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</si>
  <si>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</si>
  <si>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</si>
  <si>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</si>
  <si>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</si>
  <si>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</si>
  <si>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</si>
  <si>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</si>
  <si>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</si>
  <si>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</si>
  <si>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</si>
  <si>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</si>
  <si>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</si>
  <si>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</si>
  <si>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</si>
  <si>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</si>
  <si>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</si>
  <si>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</si>
  <si>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</si>
  <si>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</si>
  <si>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</si>
  <si>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</si>
  <si>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</si>
  <si>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</si>
  <si>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</si>
  <si>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</si>
  <si>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</si>
  <si>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</si>
  <si>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</si>
  <si>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</si>
  <si>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</si>
  <si>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</si>
  <si>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</si>
  <si>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</si>
  <si>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</si>
  <si>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</si>
  <si>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</si>
  <si>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</si>
  <si>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</si>
  <si>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</si>
  <si>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</si>
  <si>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</si>
  <si>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</si>
  <si>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</si>
  <si>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</si>
  <si>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</si>
  <si>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</si>
  <si>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</si>
  <si>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</si>
  <si>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</si>
  <si>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</si>
  <si>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</si>
  <si>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</si>
  <si>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</si>
  <si>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</si>
  <si>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</si>
  <si>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</si>
  <si>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</si>
  <si>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</si>
  <si>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</si>
  <si>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</si>
  <si>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</si>
  <si>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</si>
  <si>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</si>
  <si>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</si>
  <si>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</si>
  <si>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</si>
  <si>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</si>
  <si>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</si>
  <si>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</si>
  <si>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</si>
  <si>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</si>
  <si>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</si>
  <si>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</si>
  <si>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</si>
  <si>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</si>
  <si>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</si>
  <si>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</si>
  <si>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</si>
  <si>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</si>
  <si>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</si>
  <si>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</si>
  <si>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</si>
  <si>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</si>
  <si>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</si>
  <si>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</si>
  <si>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</si>
  <si>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</si>
  <si>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</si>
  <si>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</si>
  <si>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</si>
  <si>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</si>
  <si>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</si>
  <si>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</si>
  <si>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</si>
  <si>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</si>
  <si>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</si>
  <si>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</si>
  <si>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</si>
  <si>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</si>
  <si>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</si>
  <si>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</si>
  <si>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</si>
  <si>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</si>
  <si>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</si>
  <si>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</si>
  <si>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</si>
  <si>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</si>
  <si>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</si>
  <si>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</si>
  <si>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</si>
  <si>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</si>
  <si>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</si>
  <si>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</si>
  <si>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</si>
  <si>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</si>
  <si>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</si>
  <si>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</si>
  <si>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</si>
  <si>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</si>
  <si>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</si>
  <si>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</si>
  <si>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</si>
  <si>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</si>
  <si>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</si>
  <si>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</si>
  <si>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</si>
  <si>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</si>
  <si>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</si>
  <si>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</si>
  <si>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</si>
  <si>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</si>
  <si>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</si>
  <si>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</si>
  <si>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</si>
  <si>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</si>
  <si>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</si>
  <si>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</si>
  <si>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</si>
  <si>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</si>
  <si>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</si>
  <si>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</si>
  <si>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</si>
  <si>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</si>
  <si>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</si>
  <si>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</si>
  <si>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</si>
  <si>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</si>
  <si>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</si>
  <si>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</si>
  <si>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</si>
  <si>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</si>
  <si>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</si>
  <si>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</si>
  <si>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</si>
  <si>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</si>
  <si>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</si>
  <si>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</si>
  <si>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</si>
  <si>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</si>
  <si>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</si>
  <si>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</si>
  <si>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</si>
  <si>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</si>
  <si>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</si>
  <si>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</si>
  <si>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</si>
  <si>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</si>
  <si>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</si>
  <si>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</si>
  <si>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</si>
  <si>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</si>
  <si>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</si>
  <si>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</si>
  <si>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</si>
  <si>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</si>
  <si>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</si>
  <si>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</si>
  <si>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</si>
  <si>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</si>
  <si>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</si>
  <si>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</si>
  <si>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</si>
  <si>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</si>
  <si>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</si>
  <si>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</si>
  <si>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</si>
  <si>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</si>
  <si>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</si>
  <si>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</si>
  <si>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</si>
  <si>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</si>
  <si>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</si>
  <si>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</si>
  <si>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</si>
  <si>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</si>
  <si>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</si>
  <si>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</si>
  <si>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</si>
  <si>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</si>
  <si>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</si>
  <si>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</si>
  <si>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</si>
  <si>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</si>
  <si>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</si>
  <si>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</si>
  <si>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</si>
  <si>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</si>
  <si>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</si>
  <si>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</si>
  <si>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</si>
  <si>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</si>
  <si>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</si>
  <si>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</si>
  <si>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</si>
  <si>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</si>
  <si>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</si>
  <si>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</si>
  <si>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</si>
  <si>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</si>
  <si>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</si>
  <si>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</si>
  <si>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</si>
  <si>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</si>
  <si>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</si>
  <si>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</si>
  <si>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</si>
  <si>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</si>
  <si>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</si>
  <si>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</si>
  <si>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</si>
  <si>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</si>
  <si>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</si>
  <si>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</si>
  <si>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</si>
  <si>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</si>
  <si>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</si>
  <si>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</si>
  <si>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</si>
  <si>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</si>
  <si>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</si>
  <si>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</si>
  <si>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</si>
  <si>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</si>
  <si>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</si>
  <si>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</si>
  <si>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</si>
  <si>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</si>
  <si>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</si>
  <si>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</si>
  <si>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</si>
  <si>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</si>
  <si>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</si>
  <si>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</si>
  <si>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</si>
  <si>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</si>
  <si>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</si>
  <si>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</si>
  <si>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</si>
  <si>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</si>
  <si>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</si>
  <si>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</si>
  <si>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</si>
  <si>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</si>
  <si>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</si>
  <si>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</si>
  <si>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</si>
  <si>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</si>
  <si>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</si>
  <si>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</si>
  <si>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</si>
  <si>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</si>
  <si>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</si>
  <si>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</si>
  <si>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</si>
  <si>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</si>
  <si>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</si>
  <si>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</si>
  <si>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</si>
  <si>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</si>
  <si>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</si>
  <si>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</si>
  <si>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</si>
  <si>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</si>
  <si>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</si>
  <si>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</si>
  <si>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</si>
  <si>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</si>
  <si>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</si>
  <si>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</si>
  <si>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</si>
  <si>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</si>
  <si>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</si>
  <si>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</si>
  <si>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</si>
  <si>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</si>
  <si>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</si>
  <si>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</si>
  <si>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</si>
  <si>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</si>
  <si>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</si>
  <si>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</si>
  <si>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</si>
  <si>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</si>
  <si>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</si>
  <si>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</si>
  <si>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</si>
  <si>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</si>
  <si>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</si>
  <si>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</si>
  <si>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</si>
  <si>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</si>
  <si>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</si>
  <si>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</si>
  <si>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</si>
  <si>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</si>
  <si>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</si>
  <si>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</si>
  <si>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</si>
  <si>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</si>
  <si>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</si>
  <si>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</si>
  <si>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</si>
  <si>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</si>
  <si>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</si>
  <si>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</si>
  <si>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</si>
  <si>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</si>
  <si>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</si>
  <si>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</si>
  <si>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</si>
  <si>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</si>
  <si>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</si>
  <si>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</si>
  <si>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</si>
  <si>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</si>
  <si>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</si>
  <si>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</si>
  <si>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</si>
  <si>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</si>
  <si>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</si>
  <si>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</si>
  <si>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</si>
  <si>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</si>
  <si>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</si>
  <si>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</si>
  <si>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</si>
  <si>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</si>
  <si>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</si>
  <si>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</si>
  <si>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</si>
  <si>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</si>
  <si>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</si>
  <si>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</si>
  <si>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</si>
  <si>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</si>
  <si>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</si>
  <si>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</si>
  <si>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</si>
  <si>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</si>
  <si>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</si>
  <si>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</si>
  <si>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</si>
  <si>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</si>
  <si>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</si>
  <si>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</si>
  <si>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</si>
  <si>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</si>
  <si>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</si>
  <si>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</si>
  <si>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</si>
  <si>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</si>
  <si>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</si>
  <si>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</si>
  <si>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</si>
  <si>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</si>
  <si>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</si>
  <si>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</si>
  <si>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</si>
  <si>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</si>
  <si>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</si>
  <si>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</si>
  <si>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</si>
  <si>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</si>
  <si>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</si>
  <si>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</si>
  <si>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</si>
  <si>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</si>
  <si>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</si>
  <si>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</si>
  <si>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</si>
  <si>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</si>
  <si>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</si>
  <si>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</si>
  <si>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</si>
  <si>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</si>
  <si>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</si>
  <si>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</si>
  <si>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</si>
  <si>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</si>
  <si>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</si>
  <si>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</si>
  <si>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</si>
  <si>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</si>
  <si>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</si>
  <si>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</si>
  <si>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</si>
  <si>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</si>
  <si>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</si>
  <si>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</si>
  <si>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</si>
  <si>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</si>
  <si>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</si>
  <si>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</si>
  <si>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</si>
  <si>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</si>
  <si>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</si>
  <si>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</si>
  <si>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</si>
  <si>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</si>
  <si>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</si>
  <si>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</si>
  <si>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</si>
  <si>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</si>
  <si>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</si>
  <si>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</si>
  <si>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</si>
  <si>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</si>
  <si>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</si>
  <si>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</si>
  <si>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</si>
  <si>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</si>
  <si>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</si>
  <si>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</si>
  <si>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</si>
  <si>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</si>
  <si>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</si>
  <si>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</si>
  <si>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</si>
  <si>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</si>
  <si>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</si>
  <si>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</si>
  <si>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</si>
  <si>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</si>
  <si>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</si>
  <si>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</si>
  <si>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</si>
  <si>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</si>
  <si>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</si>
  <si>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</si>
  <si>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</si>
  <si>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</si>
  <si>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</si>
  <si>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</si>
  <si>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</si>
  <si>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</si>
  <si>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</si>
  <si>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</si>
  <si>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</si>
  <si>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</si>
  <si>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</si>
  <si>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</si>
  <si>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</si>
  <si>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</si>
  <si>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</si>
  <si>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</si>
  <si>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</si>
  <si>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</si>
  <si>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</si>
  <si>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</si>
  <si>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</si>
  <si>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</si>
  <si>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</si>
  <si>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</si>
  <si>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</si>
  <si>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</si>
  <si>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</si>
  <si>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</si>
  <si>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</si>
  <si>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</si>
  <si>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</si>
  <si>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</si>
  <si>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</si>
  <si>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</si>
  <si>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</si>
  <si>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</si>
  <si>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</si>
  <si>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</si>
  <si>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</si>
  <si>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</si>
  <si>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</si>
  <si>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</si>
  <si>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</si>
  <si>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</si>
  <si>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</si>
  <si>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</si>
  <si>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</si>
  <si>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</si>
  <si>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</si>
  <si>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</si>
  <si>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</si>
  <si>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</si>
  <si>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</si>
  <si>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</si>
  <si>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</si>
  <si>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</si>
  <si>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</si>
  <si>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</si>
  <si>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</si>
  <si>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</si>
  <si>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</si>
  <si>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</si>
  <si>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</si>
  <si>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</si>
  <si>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</si>
  <si>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</si>
  <si>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</si>
  <si>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</si>
  <si>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</si>
  <si>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</si>
  <si>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</si>
  <si>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</si>
  <si>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</si>
  <si>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</si>
  <si>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</si>
  <si>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</si>
  <si>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</si>
  <si>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</si>
  <si>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</si>
  <si>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</si>
  <si>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</si>
  <si>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</si>
  <si>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</si>
  <si>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</si>
  <si>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</si>
  <si>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</si>
  <si>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</si>
  <si>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</si>
  <si>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</si>
  <si>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</si>
  <si>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</si>
  <si>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</si>
  <si>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</si>
  <si>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</si>
  <si>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</si>
  <si>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</si>
  <si>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</si>
  <si>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</si>
  <si>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</si>
  <si>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</si>
  <si>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</si>
  <si>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</si>
  <si>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</si>
  <si>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</si>
  <si>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</si>
  <si>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</si>
  <si>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</si>
  <si>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</si>
  <si>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</si>
  <si>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</si>
  <si>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</si>
  <si>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</si>
  <si>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</si>
  <si>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</si>
  <si>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</si>
  <si>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</si>
  <si>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</si>
  <si>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</si>
  <si>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</si>
  <si>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</si>
  <si>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</si>
  <si>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</si>
  <si>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</si>
  <si>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</si>
  <si>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</si>
  <si>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</si>
  <si>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</si>
  <si>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</si>
  <si>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</si>
  <si>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</si>
  <si>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</si>
  <si>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</si>
  <si>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</si>
  <si>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</si>
  <si>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</si>
  <si>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</si>
  <si>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</si>
  <si>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</si>
  <si>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</si>
  <si>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</si>
  <si>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</si>
  <si>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</si>
  <si>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</si>
  <si>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</si>
  <si>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</si>
  <si>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</si>
  <si>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</si>
  <si>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</si>
  <si>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</si>
  <si>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</si>
  <si>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</si>
  <si>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</si>
  <si>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</si>
  <si>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</si>
  <si>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</si>
  <si>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</si>
  <si>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</si>
  <si>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</si>
  <si>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</si>
  <si>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</si>
  <si>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</si>
  <si>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</si>
  <si>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</si>
  <si>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</si>
  <si>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</si>
  <si>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</si>
  <si>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</si>
  <si>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</si>
  <si>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</si>
  <si>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</si>
  <si>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</si>
  <si>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</si>
  <si>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</si>
  <si>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</si>
  <si>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</si>
  <si>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</si>
  <si>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</si>
  <si>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</si>
  <si>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</si>
  <si>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</si>
  <si>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</si>
  <si>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</si>
  <si>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</si>
  <si>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</si>
  <si>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</si>
  <si>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</si>
  <si>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</si>
  <si>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</si>
  <si>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</si>
  <si>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</si>
  <si>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</si>
  <si>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</si>
  <si>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</si>
  <si>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</si>
  <si>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</si>
  <si>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</si>
  <si>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</si>
  <si>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</si>
  <si>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</si>
  <si>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</si>
  <si>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</si>
  <si>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</si>
  <si>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</si>
  <si>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</si>
  <si>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</si>
  <si>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</si>
  <si>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</si>
  <si>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</si>
  <si>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</si>
  <si>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</si>
  <si>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</si>
  <si>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</si>
  <si>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</si>
  <si>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</si>
  <si>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</si>
  <si>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</si>
  <si>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</si>
  <si>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</si>
  <si>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</si>
  <si>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</si>
  <si>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</si>
  <si>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</si>
  <si>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</si>
  <si>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</si>
  <si>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</si>
  <si>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</si>
  <si>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</si>
  <si>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</si>
  <si>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</si>
  <si>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</si>
  <si>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</si>
  <si>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</si>
  <si>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</si>
  <si>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</si>
  <si>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</si>
  <si>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</si>
  <si>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</si>
  <si>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</si>
  <si>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</si>
  <si>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</si>
  <si>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</si>
  <si>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</si>
  <si>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</si>
  <si>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</si>
  <si>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</si>
  <si>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</si>
  <si>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</si>
  <si>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</si>
  <si>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</si>
  <si>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</si>
  <si>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</si>
  <si>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</si>
  <si>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</si>
  <si>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</si>
  <si>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</si>
  <si>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</si>
  <si>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</si>
  <si>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</si>
  <si>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</si>
  <si>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</si>
  <si>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</si>
  <si>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</si>
  <si>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</si>
  <si>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</si>
  <si>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</si>
  <si>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</si>
  <si>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</si>
  <si>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</si>
  <si>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</si>
  <si>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</si>
  <si>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Croydon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</si>
</sst>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543" sqref="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114487.42</v>
      </c>
      <c r="G9" s="18"/>
      <c r="H9" s="18"/>
      <c r="I9" s="18"/>
      <c r="J9" s="67">
        <f>SUM(I439)</f>
        <v>250145.15000000002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0</v>
      </c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3470.26</v>
      </c>
      <c r="G13" s="18"/>
      <c r="H13" s="18">
        <v>3770.26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117957.68</v>
      </c>
      <c r="G19" s="41">
        <f>SUM(G9:G18)</f>
        <v>0</v>
      </c>
      <c r="H19" s="41">
        <f>SUM(H9:H18)</f>
        <v>3770.26</v>
      </c>
      <c r="I19" s="41">
        <f>SUM(I9:I18)</f>
        <v>0</v>
      </c>
      <c r="J19" s="41">
        <f>SUM(J9:J18)</f>
        <v>250145.15000000002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3470.26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5579.01</v>
      </c>
      <c r="G24" s="18"/>
      <c r="H24" s="18">
        <v>300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750+46.5+78.36+10.89</f>
        <v>885.75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6464.76</v>
      </c>
      <c r="G32" s="41">
        <f>SUM(G22:G31)</f>
        <v>0</v>
      </c>
      <c r="H32" s="41">
        <f>SUM(H22:H31)</f>
        <v>3770.26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250145.15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320538.01-209045.09</f>
        <v>111492.92000000001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111492.92000000001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250145.15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117957.68000000001</v>
      </c>
      <c r="G52" s="41">
        <f>G51+G32</f>
        <v>0</v>
      </c>
      <c r="H52" s="41">
        <f>H51+H32</f>
        <v>3770.26</v>
      </c>
      <c r="I52" s="41">
        <f>I51+I32</f>
        <v>0</v>
      </c>
      <c r="J52" s="41">
        <f>J51+J32</f>
        <v>250145.15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397418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397418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50.05</v>
      </c>
      <c r="G96" s="18"/>
      <c r="H96" s="18">
        <v>0</v>
      </c>
      <c r="I96" s="18"/>
      <c r="J96" s="18">
        <v>704.21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1321.07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12554.93</f>
        <v>12554.93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13926.05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704.21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411344.05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704.21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304255.02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227893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532148.02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28418.83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28418.83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560566.85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f>6129.46+39145.59</f>
        <v>45275.049999999996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20816.28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20816.28</v>
      </c>
      <c r="G162" s="41">
        <f>SUM(G150:G161)</f>
        <v>0</v>
      </c>
      <c r="H162" s="41">
        <f>SUM(H150:H161)</f>
        <v>45275.049999999996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20816.28</v>
      </c>
      <c r="G169" s="41">
        <f>G147+G162+SUM(G163:G168)</f>
        <v>0</v>
      </c>
      <c r="H169" s="41">
        <f>H147+H162+SUM(H163:H168)</f>
        <v>45275.049999999996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4918.7299999999996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4918.7299999999996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>
        <v>0</v>
      </c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4918.7299999999996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992727.17999999993</v>
      </c>
      <c r="G193" s="47">
        <f>G112+G140+G169+G192</f>
        <v>4918.7299999999996</v>
      </c>
      <c r="H193" s="47">
        <f>H112+H140+H169+H192</f>
        <v>45275.049999999996</v>
      </c>
      <c r="I193" s="47">
        <f>I112+I140+I169+I192</f>
        <v>0</v>
      </c>
      <c r="J193" s="47">
        <f>J112+J140+J192</f>
        <v>50704.21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93708.64+12779.52+1052</f>
        <v>107540.16</v>
      </c>
      <c r="G197" s="18">
        <f>-965.69+26867.63-1874.35+85.91+7.81+7916.86+9482.71+692.61+1102.37</f>
        <v>43315.860000000008</v>
      </c>
      <c r="H197" s="18">
        <f>140274.12+38.53</f>
        <v>140312.65</v>
      </c>
      <c r="I197" s="18">
        <f>1642.56+960</f>
        <v>2602.56</v>
      </c>
      <c r="J197" s="18">
        <f>1149.74</f>
        <v>1149.74</v>
      </c>
      <c r="K197" s="18"/>
      <c r="L197" s="19">
        <f>SUM(F197:K197)</f>
        <v>294920.97000000003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15241.42+10893.19+0</f>
        <v>26134.61</v>
      </c>
      <c r="G198" s="18">
        <f>3256.73-169.15+17.1+3.42+1959.47+2158.18+269.05</f>
        <v>7494.8</v>
      </c>
      <c r="H198" s="18">
        <f>10555.83+32782.86+12469.8+84</f>
        <v>55892.490000000005</v>
      </c>
      <c r="I198" s="18"/>
      <c r="J198" s="18"/>
      <c r="K198" s="18"/>
      <c r="L198" s="19">
        <f>SUM(F198:K198)</f>
        <v>89521.900000000009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135+7832.59+4921.69</f>
        <v>12889.279999999999</v>
      </c>
      <c r="I202" s="18"/>
      <c r="J202" s="18"/>
      <c r="K202" s="18"/>
      <c r="L202" s="19">
        <f t="shared" ref="L202:L208" si="0">SUM(F202:K202)</f>
        <v>12889.279999999999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650</v>
      </c>
      <c r="G204" s="18">
        <f>49.73+6.16</f>
        <v>55.89</v>
      </c>
      <c r="H204" s="18">
        <f>6750+8328.5+350+601.29+89784.41</f>
        <v>105814.20000000001</v>
      </c>
      <c r="I204" s="18"/>
      <c r="J204" s="18"/>
      <c r="K204" s="18"/>
      <c r="L204" s="19">
        <f t="shared" si="0"/>
        <v>106520.09000000001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5782</f>
        <v>5782</v>
      </c>
      <c r="G205" s="18">
        <f>442.34+59.65</f>
        <v>501.98999999999995</v>
      </c>
      <c r="H205" s="18"/>
      <c r="I205" s="18"/>
      <c r="J205" s="18"/>
      <c r="K205" s="18"/>
      <c r="L205" s="19">
        <f t="shared" si="0"/>
        <v>6283.99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 t="s">
        <v>287</v>
      </c>
      <c r="G206" s="18" t="s">
        <v>287</v>
      </c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4523.76</f>
        <v>4523.76</v>
      </c>
      <c r="G207" s="18">
        <f>346.07+150.2</f>
        <v>496.27</v>
      </c>
      <c r="H207" s="18">
        <f>935.49+5456.64+4730.64+1530.96+2933.51</f>
        <v>15587.24</v>
      </c>
      <c r="I207" s="18">
        <f>2150.55+2374.67+1452.1+3585.23</f>
        <v>9562.5499999999993</v>
      </c>
      <c r="J207" s="18"/>
      <c r="K207" s="18"/>
      <c r="L207" s="19">
        <f t="shared" si="0"/>
        <v>30169.82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7935.78</v>
      </c>
      <c r="G208" s="18">
        <f>607.07+450.33</f>
        <v>1057.4000000000001</v>
      </c>
      <c r="H208" s="18">
        <f>76+14416.49+10122.57+401.23</f>
        <v>25016.289999999997</v>
      </c>
      <c r="I208" s="18">
        <f>7613.78</f>
        <v>7613.78</v>
      </c>
      <c r="J208" s="18"/>
      <c r="K208" s="18"/>
      <c r="L208" s="19">
        <f t="shared" si="0"/>
        <v>41623.25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152566.31000000003</v>
      </c>
      <c r="G211" s="41">
        <f t="shared" si="1"/>
        <v>52922.210000000006</v>
      </c>
      <c r="H211" s="41">
        <f t="shared" si="1"/>
        <v>355512.14999999997</v>
      </c>
      <c r="I211" s="41">
        <f t="shared" si="1"/>
        <v>19778.89</v>
      </c>
      <c r="J211" s="41">
        <f t="shared" si="1"/>
        <v>1149.74</v>
      </c>
      <c r="K211" s="41">
        <f t="shared" si="1"/>
        <v>0</v>
      </c>
      <c r="L211" s="41">
        <f t="shared" si="1"/>
        <v>581929.30000000005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123784.21</v>
      </c>
      <c r="I215" s="18"/>
      <c r="J215" s="18"/>
      <c r="K215" s="18"/>
      <c r="L215" s="19">
        <f>SUM(F215:K215)</f>
        <v>123784.21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123784.21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123784.21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270579.95</v>
      </c>
      <c r="I233" s="18"/>
      <c r="J233" s="18"/>
      <c r="K233" s="18"/>
      <c r="L233" s="19">
        <f>SUM(F233:K233)</f>
        <v>270579.95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133785.07999999999</v>
      </c>
      <c r="I234" s="18"/>
      <c r="J234" s="18"/>
      <c r="K234" s="18"/>
      <c r="L234" s="19">
        <f>SUM(F234:K234)</f>
        <v>133785.07999999999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36775</v>
      </c>
      <c r="I244" s="18"/>
      <c r="J244" s="18"/>
      <c r="K244" s="18"/>
      <c r="L244" s="19">
        <f t="shared" si="4"/>
        <v>36775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441140.03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441140.03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152566.31000000003</v>
      </c>
      <c r="G257" s="41">
        <f t="shared" si="8"/>
        <v>52922.210000000006</v>
      </c>
      <c r="H257" s="41">
        <f t="shared" si="8"/>
        <v>920436.39</v>
      </c>
      <c r="I257" s="41">
        <f t="shared" si="8"/>
        <v>19778.89</v>
      </c>
      <c r="J257" s="41">
        <f t="shared" si="8"/>
        <v>1149.74</v>
      </c>
      <c r="K257" s="41">
        <f t="shared" si="8"/>
        <v>0</v>
      </c>
      <c r="L257" s="41">
        <f t="shared" si="8"/>
        <v>1146853.54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4918.7299999999996</v>
      </c>
      <c r="L263" s="19">
        <f>SUM(F263:K263)</f>
        <v>4918.7299999999996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54918.729999999996</v>
      </c>
      <c r="L270" s="41">
        <f t="shared" si="9"/>
        <v>54918.729999999996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152566.31000000003</v>
      </c>
      <c r="G271" s="42">
        <f t="shared" si="11"/>
        <v>52922.210000000006</v>
      </c>
      <c r="H271" s="42">
        <f t="shared" si="11"/>
        <v>920436.39</v>
      </c>
      <c r="I271" s="42">
        <f t="shared" si="11"/>
        <v>19778.89</v>
      </c>
      <c r="J271" s="42">
        <f t="shared" si="11"/>
        <v>1149.74</v>
      </c>
      <c r="K271" s="42">
        <f t="shared" si="11"/>
        <v>54918.729999999996</v>
      </c>
      <c r="L271" s="42">
        <f t="shared" si="11"/>
        <v>1201772.27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1100+200</f>
        <v>1300</v>
      </c>
      <c r="G276" s="18">
        <f>84.14+3514+5.99</f>
        <v>3604.1299999999997</v>
      </c>
      <c r="H276" s="18"/>
      <c r="I276" s="18">
        <f>2630.16+2640.61+5304.09+1091.92+77.98+189-360</f>
        <v>11573.76</v>
      </c>
      <c r="J276" s="18">
        <f>860.51+4388.72</f>
        <v>5249.2300000000005</v>
      </c>
      <c r="K276" s="18">
        <v>130</v>
      </c>
      <c r="L276" s="19">
        <f>SUM(F276:K276)</f>
        <v>21857.119999999999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5650</f>
        <v>5650</v>
      </c>
      <c r="G277" s="18">
        <f>447.57+31.89</f>
        <v>479.46</v>
      </c>
      <c r="H277" s="18"/>
      <c r="I277" s="18"/>
      <c r="J277" s="18"/>
      <c r="K277" s="18"/>
      <c r="L277" s="19">
        <f>SUM(F277:K277)</f>
        <v>6129.46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6849.9+778.75</f>
        <v>7628.65</v>
      </c>
      <c r="G281" s="18">
        <f>524.02+479.76+37.33+59.58+4.23</f>
        <v>1104.9199999999998</v>
      </c>
      <c r="H281" s="18">
        <f>6600</f>
        <v>6600</v>
      </c>
      <c r="I281" s="18"/>
      <c r="J281" s="18"/>
      <c r="K281" s="18"/>
      <c r="L281" s="19">
        <f t="shared" ref="L281:L287" si="12">SUM(F281:K281)</f>
        <v>15333.57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1740</v>
      </c>
      <c r="H282" s="18">
        <v>214.9</v>
      </c>
      <c r="I282" s="18"/>
      <c r="J282" s="18"/>
      <c r="K282" s="18"/>
      <c r="L282" s="19">
        <f t="shared" si="12"/>
        <v>1954.9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14578.65</v>
      </c>
      <c r="G290" s="42">
        <f t="shared" si="13"/>
        <v>6928.5099999999993</v>
      </c>
      <c r="H290" s="42">
        <f t="shared" si="13"/>
        <v>6814.9</v>
      </c>
      <c r="I290" s="42">
        <f t="shared" si="13"/>
        <v>11573.76</v>
      </c>
      <c r="J290" s="42">
        <f t="shared" si="13"/>
        <v>5249.2300000000005</v>
      </c>
      <c r="K290" s="42">
        <f t="shared" si="13"/>
        <v>130</v>
      </c>
      <c r="L290" s="41">
        <f t="shared" si="13"/>
        <v>45275.049999999996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14578.65</v>
      </c>
      <c r="G338" s="41">
        <f t="shared" si="20"/>
        <v>6928.5099999999993</v>
      </c>
      <c r="H338" s="41">
        <f t="shared" si="20"/>
        <v>6814.9</v>
      </c>
      <c r="I338" s="41">
        <f t="shared" si="20"/>
        <v>11573.76</v>
      </c>
      <c r="J338" s="41">
        <f t="shared" si="20"/>
        <v>5249.2300000000005</v>
      </c>
      <c r="K338" s="41">
        <f t="shared" si="20"/>
        <v>130</v>
      </c>
      <c r="L338" s="41">
        <f t="shared" si="20"/>
        <v>45275.049999999996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14578.65</v>
      </c>
      <c r="G352" s="41">
        <f>G338</f>
        <v>6928.5099999999993</v>
      </c>
      <c r="H352" s="41">
        <f>H338</f>
        <v>6814.9</v>
      </c>
      <c r="I352" s="41">
        <f>I338</f>
        <v>11573.76</v>
      </c>
      <c r="J352" s="41">
        <f>J338</f>
        <v>5249.2300000000005</v>
      </c>
      <c r="K352" s="47">
        <f>K338+K351</f>
        <v>130</v>
      </c>
      <c r="L352" s="41">
        <f>L338+L351</f>
        <v>45275.049999999996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4525.68</v>
      </c>
      <c r="G358" s="18">
        <v>393.05</v>
      </c>
      <c r="H358" s="18"/>
      <c r="I358" s="18"/>
      <c r="J358" s="18"/>
      <c r="K358" s="18"/>
      <c r="L358" s="13">
        <f>SUM(F358:K358)</f>
        <v>4918.7300000000005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4525.68</v>
      </c>
      <c r="G362" s="47">
        <f t="shared" si="22"/>
        <v>393.05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4918.7300000000005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40.22</v>
      </c>
      <c r="I389" s="18"/>
      <c r="J389" s="24" t="s">
        <v>289</v>
      </c>
      <c r="K389" s="24" t="s">
        <v>289</v>
      </c>
      <c r="L389" s="56">
        <f t="shared" si="25"/>
        <v>40.22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329.08</v>
      </c>
      <c r="I390" s="18"/>
      <c r="J390" s="24" t="s">
        <v>289</v>
      </c>
      <c r="K390" s="24" t="s">
        <v>289</v>
      </c>
      <c r="L390" s="56">
        <f t="shared" si="25"/>
        <v>329.08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50000</v>
      </c>
      <c r="H392" s="18">
        <v>334.91</v>
      </c>
      <c r="I392" s="18"/>
      <c r="J392" s="24" t="s">
        <v>289</v>
      </c>
      <c r="K392" s="24" t="s">
        <v>289</v>
      </c>
      <c r="L392" s="56">
        <f t="shared" si="25"/>
        <v>50334.91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704.21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50704.210000000006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704.21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50704.210000000006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101052.9+94470.11+20413.69+34208.45</f>
        <v>250145.15000000002</v>
      </c>
      <c r="G439" s="18"/>
      <c r="H439" s="18"/>
      <c r="I439" s="56">
        <f t="shared" ref="I439:I445" si="33">SUM(F439:H439)</f>
        <v>250145.15000000002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250145.15000000002</v>
      </c>
      <c r="G446" s="13">
        <f>SUM(G439:G445)</f>
        <v>0</v>
      </c>
      <c r="H446" s="13">
        <f>SUM(H439:H445)</f>
        <v>0</v>
      </c>
      <c r="I446" s="13">
        <f>SUM(I439:I445)</f>
        <v>250145.15000000002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250145.15</v>
      </c>
      <c r="G459" s="18"/>
      <c r="H459" s="18"/>
      <c r="I459" s="56">
        <f t="shared" si="34"/>
        <v>250145.15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250145.15</v>
      </c>
      <c r="G460" s="83">
        <f>SUM(G454:G459)</f>
        <v>0</v>
      </c>
      <c r="H460" s="83">
        <f>SUM(H454:H459)</f>
        <v>0</v>
      </c>
      <c r="I460" s="83">
        <f>SUM(I454:I459)</f>
        <v>250145.15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250145.15</v>
      </c>
      <c r="G461" s="42">
        <f>G452+G460</f>
        <v>0</v>
      </c>
      <c r="H461" s="42">
        <f>H452+H460</f>
        <v>0</v>
      </c>
      <c r="I461" s="42">
        <f>I452+I460</f>
        <v>250145.15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320538.01</v>
      </c>
      <c r="G465" s="18">
        <v>0</v>
      </c>
      <c r="H465" s="18">
        <v>0</v>
      </c>
      <c r="I465" s="18"/>
      <c r="J465" s="18">
        <f>50820.45+94141.03+20373.47+34105.99</f>
        <v>199440.93999999997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992727.18</v>
      </c>
      <c r="G468" s="18">
        <v>4918.7299999999996</v>
      </c>
      <c r="H468" s="18">
        <v>45275.05</v>
      </c>
      <c r="I468" s="18"/>
      <c r="J468" s="18">
        <f>50000+232.45+329.08+40.22+102.46</f>
        <v>50704.21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0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992727.18</v>
      </c>
      <c r="G470" s="53">
        <f>SUM(G468:G469)</f>
        <v>4918.7299999999996</v>
      </c>
      <c r="H470" s="53">
        <f>SUM(H468:H469)</f>
        <v>45275.05</v>
      </c>
      <c r="I470" s="53">
        <f>SUM(I468:I469)</f>
        <v>0</v>
      </c>
      <c r="J470" s="53">
        <f>SUM(J468:J469)</f>
        <v>50704.21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1201772.27</v>
      </c>
      <c r="G472" s="18">
        <v>4918.7299999999996</v>
      </c>
      <c r="H472" s="18">
        <v>45275.05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1201772.27</v>
      </c>
      <c r="G474" s="53">
        <f>SUM(G472:G473)</f>
        <v>4918.7299999999996</v>
      </c>
      <c r="H474" s="53">
        <f>SUM(H472:H473)</f>
        <v>45275.05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111492.91999999993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250145.14999999997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31784.61</v>
      </c>
      <c r="G521" s="18">
        <v>7974.26</v>
      </c>
      <c r="H521" s="18">
        <v>55892.49</v>
      </c>
      <c r="I521" s="18"/>
      <c r="J521" s="18"/>
      <c r="K521" s="18"/>
      <c r="L521" s="88">
        <f>SUM(F521:K521)</f>
        <v>95651.36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133785.07999999999</v>
      </c>
      <c r="I523" s="18"/>
      <c r="J523" s="18"/>
      <c r="K523" s="18"/>
      <c r="L523" s="88">
        <f>SUM(F523:K523)</f>
        <v>133785.07999999999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31784.61</v>
      </c>
      <c r="G524" s="108">
        <f t="shared" ref="G524:L524" si="36">SUM(G521:G523)</f>
        <v>7974.26</v>
      </c>
      <c r="H524" s="108">
        <f t="shared" si="36"/>
        <v>189677.56999999998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229436.44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12889.28</v>
      </c>
      <c r="I526" s="18"/>
      <c r="J526" s="18"/>
      <c r="K526" s="18"/>
      <c r="L526" s="88">
        <f>SUM(F526:K526)</f>
        <v>12889.28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12889.28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12889.28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274">
        <v>36775</v>
      </c>
      <c r="I543" s="18"/>
      <c r="J543" s="18"/>
      <c r="K543" s="18"/>
      <c r="L543" s="88">
        <f>SUM(F543:K543)</f>
        <v>36775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36775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36775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31784.61</v>
      </c>
      <c r="G545" s="89">
        <f t="shared" ref="G545:L545" si="41">G524+G529+G534+G539+G544</f>
        <v>7974.26</v>
      </c>
      <c r="H545" s="89">
        <f t="shared" si="41"/>
        <v>239341.84999999998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279100.71999999997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95651.36</v>
      </c>
      <c r="G549" s="87">
        <f>L526</f>
        <v>12889.28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108540.64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133785.07999999999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36775</v>
      </c>
      <c r="K551" s="87">
        <f>SUM(F551:J551)</f>
        <v>170560.08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229436.44</v>
      </c>
      <c r="G552" s="89">
        <f t="shared" si="42"/>
        <v>12889.28</v>
      </c>
      <c r="H552" s="89">
        <f t="shared" si="42"/>
        <v>0</v>
      </c>
      <c r="I552" s="89">
        <f t="shared" si="42"/>
        <v>0</v>
      </c>
      <c r="J552" s="89">
        <f t="shared" si="42"/>
        <v>36775</v>
      </c>
      <c r="K552" s="89">
        <f t="shared" si="42"/>
        <v>279100.71999999997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140274.12</v>
      </c>
      <c r="G575" s="18">
        <f>123784.21-33743.08</f>
        <v>90041.13</v>
      </c>
      <c r="H575" s="18">
        <v>270579.95</v>
      </c>
      <c r="I575" s="87">
        <f>SUM(F575:H575)</f>
        <v>500895.2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33743.08</v>
      </c>
      <c r="H578" s="18"/>
      <c r="I578" s="87">
        <f t="shared" si="47"/>
        <v>33743.08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133785.07999999999</v>
      </c>
      <c r="I582" s="87">
        <f t="shared" si="47"/>
        <v>133785.07999999999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23560.33+5497.41+12565.51</f>
        <v>41623.25</v>
      </c>
      <c r="I591" s="18">
        <v>0</v>
      </c>
      <c r="J591" s="18">
        <v>0</v>
      </c>
      <c r="K591" s="104">
        <f t="shared" ref="K591:K597" si="48">SUM(H591:J591)</f>
        <v>41623.25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0</v>
      </c>
      <c r="I592" s="18"/>
      <c r="J592" s="18">
        <v>36775</v>
      </c>
      <c r="K592" s="104">
        <f t="shared" si="48"/>
        <v>36775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41623.25</v>
      </c>
      <c r="I598" s="108">
        <f>SUM(I591:I597)</f>
        <v>0</v>
      </c>
      <c r="J598" s="108">
        <f>SUM(J591:J597)</f>
        <v>36775</v>
      </c>
      <c r="K598" s="108">
        <f>SUM(K591:K597)</f>
        <v>78398.25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6398.97</v>
      </c>
      <c r="I604" s="18"/>
      <c r="J604" s="18"/>
      <c r="K604" s="104">
        <f>SUM(H604:J604)</f>
        <v>6398.97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6398.97</v>
      </c>
      <c r="I605" s="108">
        <f>SUM(I602:I604)</f>
        <v>0</v>
      </c>
      <c r="J605" s="108">
        <f>SUM(J602:J604)</f>
        <v>0</v>
      </c>
      <c r="K605" s="108">
        <f>SUM(K602:K604)</f>
        <v>6398.97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117957.68</v>
      </c>
      <c r="H617" s="109">
        <f>SUM(F52)</f>
        <v>117957.68000000001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3770.26</v>
      </c>
      <c r="H619" s="109">
        <f>SUM(H52)</f>
        <v>3770.26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250145.15000000002</v>
      </c>
      <c r="H621" s="109">
        <f>SUM(J52)</f>
        <v>250145.15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111492.92000000001</v>
      </c>
      <c r="H622" s="109">
        <f>F476</f>
        <v>111492.91999999993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250145.15</v>
      </c>
      <c r="H626" s="109">
        <f>J476</f>
        <v>250145.14999999997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992727.17999999993</v>
      </c>
      <c r="H627" s="104">
        <f>SUM(F468)</f>
        <v>992727.18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4918.7299999999996</v>
      </c>
      <c r="H628" s="104">
        <f>SUM(G468)</f>
        <v>4918.7299999999996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45275.049999999996</v>
      </c>
      <c r="H629" s="104">
        <f>SUM(H468)</f>
        <v>45275.05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50704.21</v>
      </c>
      <c r="H631" s="104">
        <f>SUM(J468)</f>
        <v>50704.21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1201772.27</v>
      </c>
      <c r="H632" s="104">
        <f>SUM(F472)</f>
        <v>1201772.27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45275.049999999996</v>
      </c>
      <c r="H633" s="104">
        <f>SUM(H472)</f>
        <v>45275.05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4918.7300000000005</v>
      </c>
      <c r="H635" s="104">
        <f>SUM(G472)</f>
        <v>4918.7299999999996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50704.210000000006</v>
      </c>
      <c r="H637" s="164">
        <f>SUM(J468)</f>
        <v>50704.21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250145.15000000002</v>
      </c>
      <c r="H639" s="104">
        <f>SUM(F461)</f>
        <v>250145.15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250145.15000000002</v>
      </c>
      <c r="H642" s="104">
        <f>SUM(I461)</f>
        <v>250145.15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704.21</v>
      </c>
      <c r="H644" s="104">
        <f>H408</f>
        <v>704.21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50704.21</v>
      </c>
      <c r="H646" s="104">
        <f>L408</f>
        <v>50704.210000000006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78398.25</v>
      </c>
      <c r="H647" s="104">
        <f>L208+L226+L244</f>
        <v>78398.25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6398.97</v>
      </c>
      <c r="H648" s="104">
        <f>(J257+J338)-(J255+J336)</f>
        <v>6398.97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41623.25</v>
      </c>
      <c r="H649" s="104">
        <f>H598</f>
        <v>41623.25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36775</v>
      </c>
      <c r="H651" s="104">
        <f>J598</f>
        <v>36775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4918.7299999999996</v>
      </c>
      <c r="H652" s="104">
        <f>K263+K345</f>
        <v>4918.7299999999996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632123.08000000007</v>
      </c>
      <c r="G660" s="19">
        <f>(L229+L309+L359)</f>
        <v>123784.21</v>
      </c>
      <c r="H660" s="19">
        <f>(L247+L328+L360)</f>
        <v>441140.03</v>
      </c>
      <c r="I660" s="19">
        <f>SUM(F660:H660)</f>
        <v>1197047.32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41623.25</v>
      </c>
      <c r="G662" s="19">
        <f>(L226+L306)-(J226+J306)</f>
        <v>0</v>
      </c>
      <c r="H662" s="19">
        <f>(L244+L325)-(J244+J325)</f>
        <v>36775</v>
      </c>
      <c r="I662" s="19">
        <f>SUM(F662:H662)</f>
        <v>78398.25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146673.09</v>
      </c>
      <c r="G663" s="199">
        <f>SUM(G575:G587)+SUM(I602:I604)+L612</f>
        <v>123784.21</v>
      </c>
      <c r="H663" s="199">
        <f>SUM(H575:H587)+SUM(J602:J604)+L613</f>
        <v>404365.03</v>
      </c>
      <c r="I663" s="19">
        <f>SUM(F663:H663)</f>
        <v>674822.33000000007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443826.74000000011</v>
      </c>
      <c r="G664" s="19">
        <f>G660-SUM(G661:G663)</f>
        <v>0</v>
      </c>
      <c r="H664" s="19">
        <f>H660-SUM(H661:H663)</f>
        <v>0</v>
      </c>
      <c r="I664" s="19">
        <f>I660-SUM(I661:I663)</f>
        <v>443826.74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28.02</v>
      </c>
      <c r="G665" s="248"/>
      <c r="H665" s="248"/>
      <c r="I665" s="19">
        <f>SUM(F665:H665)</f>
        <v>28.02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15839.64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15839.64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15839.64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15839.64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Croydon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108840.16</v>
      </c>
      <c r="C9" s="229">
        <f>'DOE25'!G197+'DOE25'!G215+'DOE25'!G233+'DOE25'!G276+'DOE25'!G295+'DOE25'!G314</f>
        <v>46919.990000000005</v>
      </c>
    </row>
    <row r="10" spans="1:3" x14ac:dyDescent="0.2">
      <c r="A10" t="s">
        <v>779</v>
      </c>
      <c r="B10" s="240">
        <v>95760.639999999999</v>
      </c>
      <c r="C10" s="240">
        <v>45729.05</v>
      </c>
    </row>
    <row r="11" spans="1:3" x14ac:dyDescent="0.2">
      <c r="A11" t="s">
        <v>780</v>
      </c>
      <c r="B11" s="240">
        <f>12779.52+300</f>
        <v>13079.52</v>
      </c>
      <c r="C11" s="240">
        <v>1190.94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108840.16</v>
      </c>
      <c r="C13" s="231">
        <f>SUM(C10:C12)</f>
        <v>46919.990000000005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31784.61</v>
      </c>
      <c r="C18" s="229">
        <f>'DOE25'!G198+'DOE25'!G216+'DOE25'!G234+'DOE25'!G277+'DOE25'!G296+'DOE25'!G315</f>
        <v>7974.26</v>
      </c>
    </row>
    <row r="19" spans="1:3" x14ac:dyDescent="0.2">
      <c r="A19" t="s">
        <v>779</v>
      </c>
      <c r="B19" s="240">
        <v>20891.419999999998</v>
      </c>
      <c r="C19" s="240">
        <v>7140.93</v>
      </c>
    </row>
    <row r="20" spans="1:3" x14ac:dyDescent="0.2">
      <c r="A20" t="s">
        <v>780</v>
      </c>
      <c r="B20" s="240">
        <v>10893.19</v>
      </c>
      <c r="C20" s="240">
        <v>833.33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31784.61</v>
      </c>
      <c r="C22" s="231">
        <f>SUM(C19:C21)</f>
        <v>7974.26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9" sqref="B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Croydon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912592.1100000001</v>
      </c>
      <c r="D5" s="20">
        <f>SUM('DOE25'!L197:L200)+SUM('DOE25'!L215:L218)+SUM('DOE25'!L233:L236)-F5-G5</f>
        <v>911442.37000000011</v>
      </c>
      <c r="E5" s="243"/>
      <c r="F5" s="255">
        <f>SUM('DOE25'!J197:J200)+SUM('DOE25'!J215:J218)+SUM('DOE25'!J233:J236)</f>
        <v>1149.74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12889.279999999999</v>
      </c>
      <c r="D6" s="20">
        <f>'DOE25'!L202+'DOE25'!L220+'DOE25'!L238-F6-G6</f>
        <v>12889.279999999999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6750</v>
      </c>
      <c r="D8" s="243"/>
      <c r="E8" s="20">
        <f>'DOE25'!L204+'DOE25'!L222+'DOE25'!L240-F8-G8-D9-D11</f>
        <v>6750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9985.68</v>
      </c>
      <c r="D9" s="244">
        <f>16735.68-6750</f>
        <v>9985.68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6750</v>
      </c>
      <c r="D10" s="243"/>
      <c r="E10" s="244">
        <v>6750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89784.41</v>
      </c>
      <c r="D11" s="244">
        <v>89784.41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6283.99</v>
      </c>
      <c r="D12" s="20">
        <f>'DOE25'!L205+'DOE25'!L223+'DOE25'!L241-F12-G12</f>
        <v>6283.99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30169.82</v>
      </c>
      <c r="D14" s="20">
        <f>'DOE25'!L207+'DOE25'!L225+'DOE25'!L243-F14-G14</f>
        <v>30169.82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78398.25</v>
      </c>
      <c r="D15" s="20">
        <f>'DOE25'!L208+'DOE25'!L226+'DOE25'!L244-F15-G15</f>
        <v>78398.25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4918.7300000000005</v>
      </c>
      <c r="D29" s="20">
        <f>'DOE25'!L358+'DOE25'!L359+'DOE25'!L360-'DOE25'!I367-F29-G29</f>
        <v>4918.7300000000005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45275.049999999996</v>
      </c>
      <c r="D31" s="20">
        <f>'DOE25'!L290+'DOE25'!L309+'DOE25'!L328+'DOE25'!L333+'DOE25'!L334+'DOE25'!L335-F31-G31</f>
        <v>39895.819999999992</v>
      </c>
      <c r="E31" s="243"/>
      <c r="F31" s="255">
        <f>'DOE25'!J290+'DOE25'!J309+'DOE25'!J328+'DOE25'!J333+'DOE25'!J334+'DOE25'!J335</f>
        <v>5249.2300000000005</v>
      </c>
      <c r="G31" s="53">
        <f>'DOE25'!K290+'DOE25'!K309+'DOE25'!K328+'DOE25'!K333+'DOE25'!K334+'DOE25'!K335</f>
        <v>130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1183768.3500000003</v>
      </c>
      <c r="E33" s="246">
        <f>SUM(E5:E31)</f>
        <v>13500</v>
      </c>
      <c r="F33" s="246">
        <f>SUM(F5:F31)</f>
        <v>6398.97</v>
      </c>
      <c r="G33" s="246">
        <f>SUM(G5:G31)</f>
        <v>130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13500</v>
      </c>
      <c r="E35" s="249"/>
    </row>
    <row r="36" spans="2:8" ht="12" thickTop="1" x14ac:dyDescent="0.2">
      <c r="B36" t="s">
        <v>815</v>
      </c>
      <c r="D36" s="20">
        <f>D33</f>
        <v>1183768.3500000003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56" sqref="C5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114487.42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250145.15000000002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3470.26</v>
      </c>
      <c r="D12" s="95">
        <f>'DOE25'!G13</f>
        <v>0</v>
      </c>
      <c r="E12" s="95">
        <f>'DOE25'!H13</f>
        <v>3770.26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117957.68</v>
      </c>
      <c r="D18" s="41">
        <f>SUM(D8:D17)</f>
        <v>0</v>
      </c>
      <c r="E18" s="41">
        <f>SUM(E8:E17)</f>
        <v>3770.26</v>
      </c>
      <c r="F18" s="41">
        <f>SUM(F8:F17)</f>
        <v>0</v>
      </c>
      <c r="G18" s="41">
        <f>SUM(G8:G17)</f>
        <v>250145.15000000002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3470.26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5579.01</v>
      </c>
      <c r="D23" s="95">
        <f>'DOE25'!G24</f>
        <v>0</v>
      </c>
      <c r="E23" s="95">
        <f>'DOE25'!H24</f>
        <v>300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885.75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6464.76</v>
      </c>
      <c r="D31" s="41">
        <f>SUM(D21:D30)</f>
        <v>0</v>
      </c>
      <c r="E31" s="41">
        <f>SUM(E21:E30)</f>
        <v>3770.26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250145.15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111492.92000000001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111492.92000000001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250145.15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117957.68000000001</v>
      </c>
      <c r="D51" s="41">
        <f>D50+D31</f>
        <v>0</v>
      </c>
      <c r="E51" s="41">
        <f>E50+E31</f>
        <v>3770.26</v>
      </c>
      <c r="F51" s="41">
        <f>F50+F31</f>
        <v>0</v>
      </c>
      <c r="G51" s="41">
        <f>G50+G31</f>
        <v>250145.15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397418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50.05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704.21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13876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13926.05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704.21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411344.05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704.21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304255.02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227893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532148.02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28418.83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28418.83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560566.85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45275.049999999996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20816.28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20816.28</v>
      </c>
      <c r="D91" s="131">
        <f>SUM(D85:D90)</f>
        <v>0</v>
      </c>
      <c r="E91" s="131">
        <f>SUM(E85:E90)</f>
        <v>45275.049999999996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4918.7299999999996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4918.7299999999996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992727.17999999993</v>
      </c>
      <c r="D104" s="86">
        <f>D63+D81+D91+D103</f>
        <v>4918.7299999999996</v>
      </c>
      <c r="E104" s="86">
        <f>E63+E81+E91+E103</f>
        <v>45275.049999999996</v>
      </c>
      <c r="F104" s="86">
        <f>F63+F81+F91+F103</f>
        <v>0</v>
      </c>
      <c r="G104" s="86">
        <f>G63+G81+G103</f>
        <v>50704.21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689285.13000000012</v>
      </c>
      <c r="D109" s="24" t="s">
        <v>289</v>
      </c>
      <c r="E109" s="95">
        <f>('DOE25'!L276)+('DOE25'!L295)+('DOE25'!L314)</f>
        <v>21857.119999999999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223306.97999999998</v>
      </c>
      <c r="D110" s="24" t="s">
        <v>289</v>
      </c>
      <c r="E110" s="95">
        <f>('DOE25'!L277)+('DOE25'!L296)+('DOE25'!L315)</f>
        <v>6129.46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912592.1100000001</v>
      </c>
      <c r="D115" s="86">
        <f>SUM(D109:D114)</f>
        <v>0</v>
      </c>
      <c r="E115" s="86">
        <f>SUM(E109:E114)</f>
        <v>27986.579999999998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12889.279999999999</v>
      </c>
      <c r="D118" s="24" t="s">
        <v>289</v>
      </c>
      <c r="E118" s="95">
        <f>+('DOE25'!L281)+('DOE25'!L300)+('DOE25'!L319)</f>
        <v>15333.57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1954.9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106520.09000000001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6283.99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30169.82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78398.25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4918.7300000000005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234261.43000000002</v>
      </c>
      <c r="D128" s="86">
        <f>SUM(D118:D127)</f>
        <v>4918.7300000000005</v>
      </c>
      <c r="E128" s="86">
        <f>SUM(E118:E127)</f>
        <v>17288.47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4918.7299999999996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50704.210000000006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-704.2100000000064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54918.729999999996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1201772.27</v>
      </c>
      <c r="D145" s="86">
        <f>(D115+D128+D144)</f>
        <v>4918.7300000000005</v>
      </c>
      <c r="E145" s="86">
        <f>(E115+E128+E144)</f>
        <v>45275.05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Croydon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15840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15840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711142</v>
      </c>
      <c r="D10" s="182">
        <f>ROUND((C10/$C$28)*100,1)</f>
        <v>59.4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229436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28223</v>
      </c>
      <c r="D15" s="182">
        <f t="shared" ref="D15:D27" si="0">ROUND((C15/$C$28)*100,1)</f>
        <v>2.4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1955</v>
      </c>
      <c r="D16" s="182">
        <f t="shared" si="0"/>
        <v>0.2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106520</v>
      </c>
      <c r="D17" s="182">
        <f t="shared" si="0"/>
        <v>8.9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6284</v>
      </c>
      <c r="D18" s="182">
        <f t="shared" si="0"/>
        <v>0.5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30170</v>
      </c>
      <c r="D20" s="182">
        <f t="shared" si="0"/>
        <v>2.5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78398</v>
      </c>
      <c r="D21" s="182">
        <f t="shared" si="0"/>
        <v>6.5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4919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1197047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1197047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397418</v>
      </c>
      <c r="D35" s="182">
        <f t="shared" ref="D35:D40" si="1">ROUND((C35/$C$41)*100,1)</f>
        <v>38.299999999999997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14630.260000000009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532148</v>
      </c>
      <c r="D37" s="182">
        <f t="shared" si="1"/>
        <v>51.2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28419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66091</v>
      </c>
      <c r="D39" s="182">
        <f t="shared" si="1"/>
        <v>6.4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1038706.26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Croydon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2015-10-07T16:36:14Z</cp:lastPrinted>
  <dcterms:created xsi:type="dcterms:W3CDTF">1997-12-04T19:04:30Z</dcterms:created>
  <dcterms:modified xsi:type="dcterms:W3CDTF">2015-10-07T16:39:15Z</dcterms:modified>
</cp:coreProperties>
</file>